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525" windowWidth="11760" windowHeight="8340" activeTab="0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POA-08" sheetId="8" r:id="rId8"/>
    <sheet name="VIATICOS" sheetId="9" r:id="rId9"/>
    <sheet name="Cronograma" sheetId="10" r:id="rId10"/>
    <sheet name="Grafico" sheetId="11" r:id="rId11"/>
  </sheets>
  <definedNames>
    <definedName name="_xlnm.Print_Area" localSheetId="10">'Grafico'!$A$1:$F$64</definedName>
    <definedName name="_xlnm.Print_Area" localSheetId="0">'POA-01'!$A$1:$J$18</definedName>
    <definedName name="_xlnm.Print_Area" localSheetId="1">'POA-02'!$A$1:$J$29</definedName>
    <definedName name="_xlnm.Print_Area" localSheetId="2">'POA-03'!$A$1:$I$23</definedName>
    <definedName name="_xlnm.Print_Area" localSheetId="3">'POA-04'!$A$1:$H$23</definedName>
    <definedName name="_xlnm.Print_Area" localSheetId="4">'POA-05'!$A$1:$I$27</definedName>
    <definedName name="_xlnm.Print_Area" localSheetId="5">'POA-06'!$A$1:$F$33</definedName>
    <definedName name="_xlnm.Print_Area" localSheetId="6">'POA-07'!$A$1:$P$46</definedName>
    <definedName name="_xlnm.Print_Area" localSheetId="7">'POA-08'!$A$5:$I$50</definedName>
    <definedName name="_xlnm.Print_Area" localSheetId="8">'VIATICOS'!$A$1:$M$15</definedName>
  </definedNames>
  <calcPr fullCalcOnLoad="1"/>
</workbook>
</file>

<file path=xl/comments4.xml><?xml version="1.0" encoding="utf-8"?>
<comments xmlns="http://schemas.openxmlformats.org/spreadsheetml/2006/main">
  <authors>
    <author>PLANEACION</author>
  </authors>
  <commentList>
    <comment ref="B13" authorId="0">
      <text>
        <r>
          <rPr>
            <b/>
            <sz val="8"/>
            <rFont val="Tahoma"/>
            <family val="2"/>
          </rPr>
          <t>radio+Antena Yagui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Comunicacion con las señales enviadas por los radios de campo</t>
        </r>
      </text>
    </comment>
  </commentList>
</comments>
</file>

<file path=xl/sharedStrings.xml><?xml version="1.0" encoding="utf-8"?>
<sst xmlns="http://schemas.openxmlformats.org/spreadsheetml/2006/main" count="671" uniqueCount="319">
  <si>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</si>
  <si>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</si>
  <si>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</si>
  <si>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</si>
  <si>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</si>
  <si>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</si>
  <si>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</si>
  <si>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</si>
  <si>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</si>
  <si>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</si>
  <si>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</si>
  <si>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</si>
  <si>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</si>
  <si>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</si>
  <si>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</si>
  <si>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</si>
  <si>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</si>
  <si>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</si>
  <si>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</si>
  <si>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</si>
  <si>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</si>
  <si>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</si>
  <si>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</si>
  <si>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</si>
  <si>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</si>
  <si>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</si>
  <si>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</si>
  <si>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</si>
  <si>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</si>
  <si>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</si>
  <si>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</si>
  <si>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</si>
  <si>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</si>
  <si>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</si>
  <si>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</si>
  <si>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</si>
  <si>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</si>
  <si>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</si>
  <si>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</si>
  <si>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</si>
  <si>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</si>
  <si>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</si>
  <si>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</si>
  <si>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</si>
  <si>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</si>
  <si>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</si>
  <si>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</si>
  <si>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</si>
  <si>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</si>
  <si>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</si>
  <si>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</si>
  <si>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</si>
  <si>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</si>
  <si>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</si>
  <si>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</si>
  <si>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</si>
  <si>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</si>
  <si>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</si>
  <si>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</si>
  <si>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</si>
  <si>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</si>
  <si>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</si>
  <si>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</si>
  <si>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</si>
  <si>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</si>
  <si>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</si>
  <si>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</si>
  <si>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</si>
  <si>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</si>
  <si>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</si>
  <si>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</si>
  <si>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</si>
  <si>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</si>
  <si>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</si>
  <si>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</si>
  <si>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</si>
  <si>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</si>
  <si>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</si>
  <si>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</si>
  <si>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</si>
  <si>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</si>
  <si>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</si>
  <si>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</si>
  <si>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</si>
  <si>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</si>
  <si>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</si>
  <si>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</si>
  <si>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</si>
  <si>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</si>
  <si>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</si>
  <si>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</si>
  <si>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</si>
  <si>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</si>
  <si>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</si>
  <si>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</si>
  <si>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</si>
  <si>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</si>
  <si>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</si>
  <si>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</si>
  <si>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</si>
  <si>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</si>
  <si>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</si>
  <si>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</si>
  <si>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</si>
  <si>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</si>
  <si>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</si>
  <si>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</si>
  <si>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</si>
  <si>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</si>
  <si>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</si>
  <si>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</si>
  <si>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</si>
  <si>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</si>
  <si>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</si>
  <si>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</si>
  <si>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</si>
  <si>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</si>
  <si>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</si>
  <si>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</si>
  <si>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</si>
  <si>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</si>
  <si>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</si>
  <si>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</si>
  <si>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</si>
  <si>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</si>
  <si>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</si>
  <si>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</si>
  <si>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</si>
  <si>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</si>
  <si>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</si>
  <si>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</si>
  <si>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</si>
  <si>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</si>
  <si>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</si>
  <si>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</si>
  <si>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</si>
  <si>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</si>
  <si>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</si>
  <si>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</si>
  <si>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</si>
  <si>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</si>
  <si>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</si>
  <si>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</si>
  <si>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</si>
  <si>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</si>
  <si>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</si>
  <si>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</si>
  <si>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</si>
  <si>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</si>
  <si>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</si>
  <si>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TOTAL-APROP</t>
  </si>
  <si>
    <t>APROPIACIÓN INICIAL</t>
  </si>
  <si>
    <t>DURACION (MESES)</t>
  </si>
  <si>
    <t>Unidad</t>
  </si>
  <si>
    <t>Caja</t>
  </si>
  <si>
    <t>Servicios Personales</t>
  </si>
  <si>
    <t>Gastos Generales</t>
  </si>
  <si>
    <t>IMPRESOS Y PUBLIC.</t>
  </si>
  <si>
    <t>MATERIALES Y SUMINIS.</t>
  </si>
  <si>
    <t>unidad</t>
  </si>
  <si>
    <t>PLAN OPERATIVO ANUAL 2008</t>
  </si>
  <si>
    <t>ACTIVIDADES</t>
  </si>
  <si>
    <t>ACTIV 1</t>
  </si>
  <si>
    <t>ACTIV 2</t>
  </si>
  <si>
    <t>ACTIV 3</t>
  </si>
  <si>
    <t>ACTIV 4</t>
  </si>
  <si>
    <t>ACTIV 5</t>
  </si>
  <si>
    <t>ACTIV 6</t>
  </si>
  <si>
    <t>ACTIV 7</t>
  </si>
  <si>
    <t>ACTIV 8</t>
  </si>
  <si>
    <t>ACTIV 9</t>
  </si>
  <si>
    <t>ACTIV 10</t>
  </si>
  <si>
    <t>ACTIV 11</t>
  </si>
  <si>
    <t>ACTIV 12</t>
  </si>
  <si>
    <t>Desarrollo del proyectol</t>
  </si>
  <si>
    <t>Febrero</t>
  </si>
  <si>
    <t>Resma</t>
  </si>
  <si>
    <t>Lápices</t>
  </si>
  <si>
    <t>Marcadores permanentes</t>
  </si>
  <si>
    <t>Marcadores Borrables</t>
  </si>
  <si>
    <t>CD-R</t>
  </si>
  <si>
    <t>CD-RW</t>
  </si>
  <si>
    <t>Planilleros</t>
  </si>
  <si>
    <t>Tonner</t>
  </si>
  <si>
    <t xml:space="preserve">                                                                                                                                                       </t>
  </si>
  <si>
    <t>DPTO</t>
  </si>
  <si>
    <t>FUERA</t>
  </si>
  <si>
    <t>VR DPTO</t>
  </si>
  <si>
    <t>VR FUERA</t>
  </si>
  <si>
    <t>VR TOTAL</t>
  </si>
  <si>
    <t>GASOLINA</t>
  </si>
  <si>
    <t>TRANSPORTE</t>
  </si>
  <si>
    <t>VR TOTALDPTO</t>
  </si>
  <si>
    <t>VR TOTAL FUERA</t>
  </si>
  <si>
    <t xml:space="preserve">TOTAL No. DIAS </t>
  </si>
  <si>
    <t>FORTALECIMIENTO AL ORDENAMIENTO AMBIENTAL Y TERRITORIAL</t>
  </si>
  <si>
    <t>ACTIV 13</t>
  </si>
  <si>
    <t>ACTIV 14</t>
  </si>
  <si>
    <t>ACTIV 15</t>
  </si>
  <si>
    <t>ACTIV 16</t>
  </si>
  <si>
    <t>ACTIV 17</t>
  </si>
  <si>
    <t>ACTIV 18</t>
  </si>
  <si>
    <t>ACTIV 19</t>
  </si>
  <si>
    <t>ACTIV 20</t>
  </si>
  <si>
    <t>ACTIV 21</t>
  </si>
  <si>
    <t>ACTIV 22</t>
  </si>
  <si>
    <t>ACTIV 23</t>
  </si>
  <si>
    <t>ACTIV 24</t>
  </si>
  <si>
    <t>ACTIV 25</t>
  </si>
  <si>
    <t>ACTIV 26</t>
  </si>
  <si>
    <t>ACTIV 27</t>
  </si>
  <si>
    <t>ACTIV 28</t>
  </si>
  <si>
    <t>ACTIV 29</t>
  </si>
  <si>
    <t>ACTIV 30</t>
  </si>
  <si>
    <t>Las actividades 11,21 y 30 son capacitación pero solamente a ellos les asignó partidas presupuestales por concepto de viáticos y transporte</t>
  </si>
  <si>
    <t>SUBTOTAL</t>
  </si>
  <si>
    <t>Empresa certificadora de productores adscritos a mercados verdes con el Sello Ambiental Colombiano</t>
  </si>
  <si>
    <t>Implementación y producción de abonos orgánicos y biofertilizantes</t>
  </si>
  <si>
    <t>Apoyo a la elaboración de ecoproductos y a los proyectos de energía limpia, aprovechamiento de residuos sólidos. Reciclaje y minería sostenible</t>
  </si>
  <si>
    <t>Luis Manuel Medina</t>
  </si>
  <si>
    <t>Amilcar Larrada</t>
  </si>
  <si>
    <t>Parcelas demostrativas de hortalizas y pantas aromaticas</t>
  </si>
  <si>
    <t>implmentacion de Parcelas demostrativas de produccion organica y semilas limpias</t>
  </si>
  <si>
    <t>Proyectos pilotos de producción más limpia de sectores productivos, acompañados por CORPOGUAJIRA</t>
  </si>
  <si>
    <t>Mipymes y empresas vinculadas a mercados verdes (Uso y aprovechamiento sostenible de la biodiversidad, ecoproductos industriales, ecoturismo) acompañados por la Corporación.</t>
  </si>
  <si>
    <t>Cantidad de Productos de mercados verdes generados en la jurisdiccion con el apoyo de CORPOGUAJIRA</t>
  </si>
  <si>
    <t>Productos certificados con el sello ambiental Colombiano</t>
  </si>
  <si>
    <t>Formulacion de una politica regional de mercados verdes</t>
  </si>
  <si>
    <t>Plan de mercados Verdes</t>
  </si>
  <si>
    <t>Personas Capacitadas</t>
  </si>
  <si>
    <t>Capacitación para el fortalecimiento de los servicios ambientales</t>
  </si>
  <si>
    <t>Socialización y distribución de manuales de buenas practicas agricolas y ambientales</t>
  </si>
  <si>
    <t>Capacitacion tecnica y organizacional que permita el establecimiento de las comunidades.</t>
  </si>
  <si>
    <t>Luis Medina Amilcar Larrada</t>
  </si>
  <si>
    <t xml:space="preserve">Luis Medina  </t>
  </si>
  <si>
    <t>Municipios del Departamento de la Guajira</t>
  </si>
  <si>
    <t>Papel Bond Tamaño Carta</t>
  </si>
  <si>
    <t>Papel Bond Tamaño Oficio</t>
  </si>
  <si>
    <t>Tinta para Impresora Hp Lasejet 1200 Color Negro</t>
  </si>
  <si>
    <t>DVD-ROM</t>
  </si>
  <si>
    <t xml:space="preserve">Carpetas Sencillas </t>
  </si>
  <si>
    <t>Seguimiento a los proyectos de mercados verdes</t>
  </si>
  <si>
    <t>Socialización de proyectos de mercados verdes y sistema de financiación institucional</t>
  </si>
  <si>
    <t>Asistencia técnica a proyectos de mercados verdes</t>
  </si>
  <si>
    <t>Coordinación de actividades de capacitación con instructores externos a productores de mercados verdes</t>
  </si>
  <si>
    <t>Visitas a otras entidades con el fin de establecer convenio de cooperación interinstitucional</t>
  </si>
  <si>
    <t>Visitas técnicas a productores verdes del Departamento</t>
  </si>
  <si>
    <t>Visitas a otras instituciones con el fin de conocer experiencias aplicables en el Departamento</t>
  </si>
  <si>
    <t>Diferentes Lugares del País</t>
  </si>
  <si>
    <t>Presupuesto</t>
  </si>
  <si>
    <t>Inversion</t>
  </si>
  <si>
    <t>MERCADOS VERDES</t>
  </si>
  <si>
    <t>CÓDIGO</t>
  </si>
  <si>
    <t>Elaboración de manuales de buenas practicas agricolas y ambientales</t>
  </si>
  <si>
    <t>Apoyo a la elaboración de ecoproductos y a los proyectos de energía limpia, aprovechamiento de residuos sólidos. Reciclaje y minería sostenible y certificación de productos con el sello ambiental</t>
  </si>
  <si>
    <t>Luis Medina</t>
  </si>
  <si>
    <t>1.52.1.75</t>
  </si>
  <si>
    <t>1.52.1.56</t>
  </si>
  <si>
    <t>1.52.1.57</t>
  </si>
  <si>
    <t>1.52.1.38</t>
  </si>
  <si>
    <t>1.52.1.41</t>
  </si>
  <si>
    <t>1.52.1.72</t>
  </si>
  <si>
    <t>1.52.1.73</t>
  </si>
  <si>
    <t>1.52.1.42</t>
  </si>
  <si>
    <t>1.52.1.59</t>
  </si>
  <si>
    <t>Cubs</t>
  </si>
  <si>
    <t>Ingeniero Agronomo</t>
  </si>
  <si>
    <t>Seguimiento y Asistencia tecnica a cultivos organicos</t>
  </si>
  <si>
    <t>Estudio de las alternativas</t>
  </si>
  <si>
    <t>Seguimiento a las actividades</t>
  </si>
  <si>
    <t>Inicio de actividades</t>
  </si>
  <si>
    <t>Organización de las comunidades interesadas en operar las parcelas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</si>
  <si>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</si>
  <si>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</si>
  <si>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</si>
  <si>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</si>
  <si>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</si>
  <si>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</si>
  <si>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</si>
  <si>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</si>
  <si>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</si>
  <si>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</si>
  <si>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Etapas del Proceso</t>
  </si>
  <si>
    <t>Corpoguajira</t>
  </si>
  <si>
    <t>Certificadora</t>
  </si>
  <si>
    <t>Contratista</t>
  </si>
  <si>
    <t>Actividad: IMPLEMENTACIÓN DE LAS PARCELAS DEMOSTRATIVAS</t>
  </si>
  <si>
    <t>Visita Técnica Para la Evaluación de parcelas existentes</t>
  </si>
  <si>
    <t>Evaluación del informe de comisión de viaje</t>
  </si>
  <si>
    <t>Contratación de la implementación de las Parcelas Demostrativas</t>
  </si>
  <si>
    <t>Terminación de las obras</t>
  </si>
  <si>
    <t>Actividad: IMPLEMENTACIÓN Y PRODUCCIÓN DE ABONOS ORGÁNICOS Y BIOFERTILIZANTES</t>
  </si>
  <si>
    <t>Visita técnica para la evaluación de los sitios donde se implementaran los módulos de Abonos y biofertilizantes</t>
  </si>
  <si>
    <t>Organización de las comunidades interesadas en operar los módulos de abono orgánico y biofertilizante</t>
  </si>
  <si>
    <t>Contratación de la implementación de las módulos de bioabonos y biofertlizantes</t>
  </si>
  <si>
    <t>Actividad: APOYO A LA ELABORACIÓN DE ECOPRODUCTOS Y A LOS PROYECTOS DE ENERGÍA LIMPIA, APROVECHAMIENTO DE RESIDUOS SÓLIDOS, RECICLAJE Y MINERÍA SOSTENIBLE</t>
  </si>
  <si>
    <t>Actividad: CERTIFICACIÓN DE PRODUCTOS VERDES</t>
  </si>
  <si>
    <t>Elaboración de los estudios previos para la contratación de los servicios de consultoría</t>
  </si>
  <si>
    <t>Contratación de la firma consultora que otorgara el certificado de producto orgánico</t>
  </si>
  <si>
    <t>Primera visita técnica de evaluación a los predios de los productores verdes</t>
  </si>
  <si>
    <t>Entrega del informe de las visitas técnicas a manos de la certificadora</t>
  </si>
  <si>
    <t>Corrección y seguimiento a las tareas impuestas por la certificadora</t>
  </si>
  <si>
    <t>Segunda visita de la certificadora a los predios para la evaluación de las tareas impuestas en la primera visita</t>
  </si>
  <si>
    <t>entrega de segundo informe de evaluación de condiciones ambientales a los predios</t>
  </si>
  <si>
    <t>Actividad: FORMULACIÓN DE UNA POLÍTICA DE MERCADOS VERDES</t>
  </si>
  <si>
    <t>Actividad: CAPACITACIONES</t>
  </si>
  <si>
    <t>Contratación de la formulacion de la Politica Regional de Mercados Verdes</t>
  </si>
  <si>
    <t>Socializacion de la Politica Regional de Mercados Verdes</t>
  </si>
  <si>
    <t>Capacitacion sobre cultivos organico de alimentos (Preparacion del Predio, Cosecha, postcosecha, Selección de semillas, Etc.)</t>
  </si>
  <si>
    <t>Capacitacion sobre elaboracion de bioabonos y biofertilizantes</t>
  </si>
  <si>
    <t>Socializacion de manuales de buenas practicas agricolas</t>
  </si>
  <si>
    <t>Leonardo Blanco</t>
  </si>
  <si>
    <t>Diferencia</t>
  </si>
  <si>
    <t>Empresa consultora que asesorará la implementacion de los sitemas de produccion organicos tendiente a obtener las certificacion verdes</t>
  </si>
  <si>
    <t>CRONOGRAMA DE ACTIVIDADES DEL PROYECTO DE MERCADOS VERDES 2009</t>
  </si>
  <si>
    <t>PLAN OPERATIVO ANUAL -2009</t>
  </si>
  <si>
    <t>PRESUPUESTO</t>
  </si>
  <si>
    <t>Mercados Verdes</t>
  </si>
  <si>
    <t xml:space="preserve">Municipios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</si>
</sst>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  <numFmt numFmtId="173" formatCode="_ * #,##0_ ;_ * \-#,##0_ ;_ * &quot;-&quot;??_ ;_ @_ "/>
    <numFmt numFmtId="174" formatCode="#,##0.000000_);\(#,##0.000000\)"/>
    <numFmt numFmtId="175" formatCode="&quot;$&quot;#,##0"/>
  </numFmts>
  <fonts count="62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Verdana"/>
      <family val="2"/>
    </font>
    <font>
      <sz val="8"/>
      <color indexed="11"/>
      <name val="Arial"/>
      <family val="2"/>
    </font>
    <font>
      <sz val="8"/>
      <color indexed="58"/>
      <name val="Tahoma"/>
      <family val="2"/>
    </font>
    <font>
      <sz val="8"/>
      <color indexed="58"/>
      <name val="Verdana"/>
      <family val="2"/>
    </font>
    <font>
      <sz val="9"/>
      <color indexed="58"/>
      <name val="Verdana"/>
      <family val="2"/>
    </font>
    <font>
      <b/>
      <sz val="9"/>
      <color indexed="58"/>
      <name val="Verdana"/>
      <family val="2"/>
    </font>
    <font>
      <sz val="9"/>
      <color indexed="58"/>
      <name val="Tahoma"/>
      <family val="2"/>
    </font>
    <font>
      <sz val="8"/>
      <color indexed="10"/>
      <name val="Tahoma"/>
      <family val="2"/>
    </font>
    <font>
      <b/>
      <sz val="8"/>
      <color indexed="58"/>
      <name val="Verdan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48" fillId="4" borderId="0" applyNumberFormat="0" applyBorder="0" applyAlignment="0" applyProtection="0"/>
    <xf numFmtId="0" fontId="53" fillId="16" borderId="1" applyNumberFormat="0" applyAlignment="0" applyProtection="0"/>
    <xf numFmtId="0" fontId="55" fillId="17" borderId="2" applyNumberFormat="0" applyAlignment="0" applyProtection="0"/>
    <xf numFmtId="0" fontId="54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0" fontId="51" fillId="7" borderId="1" applyNumberFormat="0" applyAlignment="0" applyProtection="0"/>
    <xf numFmtId="0" fontId="43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justify"/>
    </xf>
    <xf numFmtId="0" fontId="14" fillId="0" borderId="0" xfId="0" applyFont="1" applyAlignment="1">
      <alignment horizontal="center" vertical="justify"/>
    </xf>
    <xf numFmtId="0" fontId="14" fillId="0" borderId="0" xfId="0" applyFont="1" applyAlignment="1">
      <alignment horizontal="left" vertical="top"/>
    </xf>
    <xf numFmtId="172" fontId="14" fillId="0" borderId="0" xfId="0" applyNumberFormat="1" applyFont="1" applyAlignment="1">
      <alignment horizontal="right" vertical="justify"/>
    </xf>
    <xf numFmtId="6" fontId="14" fillId="0" borderId="0" xfId="0" applyNumberFormat="1" applyFont="1" applyAlignment="1">
      <alignment vertical="justify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 vertical="justify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72" fontId="26" fillId="0" borderId="0" xfId="0" applyNumberFormat="1" applyFont="1" applyAlignment="1">
      <alignment horizontal="right" vertical="justify"/>
    </xf>
    <xf numFmtId="16" fontId="24" fillId="0" borderId="10" xfId="0" applyNumberFormat="1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3" fontId="23" fillId="0" borderId="1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Continuous"/>
    </xf>
    <xf numFmtId="3" fontId="28" fillId="0" borderId="0" xfId="0" applyNumberFormat="1" applyFont="1" applyAlignment="1" quotePrefix="1">
      <alignment horizontal="left"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3" fontId="28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7" fillId="24" borderId="10" xfId="0" applyNumberFormat="1" applyFont="1" applyFill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8" fillId="24" borderId="10" xfId="0" applyNumberFormat="1" applyFont="1" applyFill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 wrapText="1"/>
    </xf>
    <xf numFmtId="0" fontId="25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3" fontId="7" fillId="7" borderId="13" xfId="0" applyNumberFormat="1" applyFont="1" applyFill="1" applyBorder="1" applyAlignment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top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center" vertical="top" wrapText="1"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/>
    </xf>
    <xf numFmtId="3" fontId="27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7" fillId="0" borderId="15" xfId="0" applyNumberFormat="1" applyFont="1" applyBorder="1" applyAlignment="1">
      <alignment horizontal="right"/>
    </xf>
    <xf numFmtId="3" fontId="27" fillId="7" borderId="12" xfId="0" applyNumberFormat="1" applyFont="1" applyFill="1" applyBorder="1" applyAlignment="1">
      <alignment horizontal="center"/>
    </xf>
    <xf numFmtId="3" fontId="27" fillId="7" borderId="13" xfId="0" applyNumberFormat="1" applyFont="1" applyFill="1" applyBorder="1" applyAlignment="1">
      <alignment horizontal="center"/>
    </xf>
    <xf numFmtId="3" fontId="27" fillId="7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wrapText="1"/>
    </xf>
    <xf numFmtId="3" fontId="27" fillId="24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30" fillId="0" borderId="0" xfId="0" applyNumberFormat="1" applyFont="1" applyAlignment="1">
      <alignment vertical="justify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9" fillId="0" borderId="0" xfId="0" applyFont="1" applyAlignment="1" applyProtection="1">
      <alignment horizontal="left"/>
      <protection/>
    </xf>
    <xf numFmtId="0" fontId="33" fillId="0" borderId="0" xfId="0" applyFont="1" applyAlignment="1" applyProtection="1">
      <alignment horizontal="left"/>
      <protection/>
    </xf>
    <xf numFmtId="37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4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37" fontId="28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173" fontId="32" fillId="0" borderId="0" xfId="47" applyNumberFormat="1" applyFont="1" applyBorder="1" applyAlignment="1">
      <alignment horizontal="right" vertical="top" wrapText="1"/>
    </xf>
    <xf numFmtId="3" fontId="39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3" fontId="39" fillId="0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top" wrapText="1"/>
    </xf>
    <xf numFmtId="17" fontId="32" fillId="0" borderId="10" xfId="0" applyNumberFormat="1" applyFont="1" applyBorder="1" applyAlignment="1">
      <alignment horizontal="center" vertical="center" wrapText="1"/>
    </xf>
    <xf numFmtId="9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16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75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7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3" fontId="24" fillId="0" borderId="0" xfId="0" applyNumberFormat="1" applyFont="1" applyAlignment="1">
      <alignment/>
    </xf>
    <xf numFmtId="0" fontId="2" fillId="7" borderId="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32" fillId="0" borderId="15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28" fillId="0" borderId="17" xfId="0" applyNumberFormat="1" applyFont="1" applyBorder="1" applyAlignment="1">
      <alignment vertic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2" fillId="0" borderId="10" xfId="0" applyNumberFormat="1" applyFont="1" applyBorder="1" applyAlignment="1">
      <alignment vertical="top" wrapText="1"/>
    </xf>
    <xf numFmtId="3" fontId="28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29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/>
      <protection/>
    </xf>
    <xf numFmtId="6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17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40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justify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center"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19" borderId="10" xfId="0" applyFill="1" applyBorder="1" applyAlignment="1">
      <alignment/>
    </xf>
    <xf numFmtId="0" fontId="0" fillId="0" borderId="23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19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30" fillId="0" borderId="0" xfId="0" applyFont="1" applyFill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24" borderId="1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42" fillId="19" borderId="17" xfId="0" applyFont="1" applyFill="1" applyBorder="1" applyAlignment="1">
      <alignment/>
    </xf>
    <xf numFmtId="0" fontId="30" fillId="0" borderId="10" xfId="0" applyFont="1" applyFill="1" applyBorder="1" applyAlignment="1">
      <alignment horizontal="justify" vertical="center" wrapText="1"/>
    </xf>
    <xf numFmtId="0" fontId="0" fillId="24" borderId="11" xfId="0" applyFill="1" applyBorder="1" applyAlignment="1">
      <alignment/>
    </xf>
    <xf numFmtId="0" fontId="0" fillId="24" borderId="24" xfId="0" applyFill="1" applyBorder="1" applyAlignment="1">
      <alignment/>
    </xf>
    <xf numFmtId="0" fontId="0" fillId="16" borderId="21" xfId="0" applyFont="1" applyFill="1" applyBorder="1" applyAlignment="1">
      <alignment horizontal="justify" vertical="center" wrapText="1"/>
    </xf>
    <xf numFmtId="0" fontId="0" fillId="16" borderId="23" xfId="0" applyFont="1" applyFill="1" applyBorder="1" applyAlignment="1">
      <alignment horizontal="justify" vertical="center" wrapText="1"/>
    </xf>
    <xf numFmtId="0" fontId="30" fillId="16" borderId="10" xfId="0" applyFont="1" applyFill="1" applyBorder="1" applyAlignment="1">
      <alignment horizontal="justify" vertical="center" wrapText="1"/>
    </xf>
    <xf numFmtId="3" fontId="2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72" fontId="28" fillId="0" borderId="0" xfId="0" applyNumberFormat="1" applyFont="1" applyAlignment="1">
      <alignment/>
    </xf>
    <xf numFmtId="0" fontId="42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2" xfId="0" applyFill="1" applyBorder="1" applyAlignment="1">
      <alignment/>
    </xf>
    <xf numFmtId="3" fontId="14" fillId="0" borderId="0" xfId="0" applyNumberFormat="1" applyFont="1" applyBorder="1" applyAlignment="1">
      <alignment vertical="top" wrapText="1"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3" fillId="7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3" fillId="7" borderId="20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7" borderId="27" xfId="0" applyFont="1" applyFill="1" applyBorder="1" applyAlignment="1">
      <alignment horizontal="center" vertical="center" wrapText="1"/>
    </xf>
    <xf numFmtId="44" fontId="23" fillId="7" borderId="11" xfId="49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7" borderId="28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43" fontId="3" fillId="0" borderId="10" xfId="47" applyFont="1" applyFill="1" applyBorder="1" applyAlignment="1">
      <alignment horizontal="left" vertical="center" wrapText="1"/>
    </xf>
    <xf numFmtId="43" fontId="3" fillId="0" borderId="10" xfId="47" applyFont="1" applyFill="1" applyBorder="1" applyAlignment="1">
      <alignment horizontal="justify" vertical="top" wrapText="1"/>
    </xf>
    <xf numFmtId="43" fontId="32" fillId="0" borderId="10" xfId="47" applyFont="1" applyBorder="1" applyAlignment="1">
      <alignment horizontal="justify" vertical="top" wrapText="1"/>
    </xf>
    <xf numFmtId="43" fontId="32" fillId="0" borderId="10" xfId="47" applyFont="1" applyBorder="1" applyAlignment="1">
      <alignment horizontal="justify" vertical="center" wrapText="1"/>
    </xf>
    <xf numFmtId="43" fontId="32" fillId="0" borderId="10" xfId="47" applyFont="1" applyBorder="1" applyAlignment="1">
      <alignment horizontal="left" vertical="center" wrapText="1"/>
    </xf>
    <xf numFmtId="43" fontId="3" fillId="0" borderId="10" xfId="47" applyFont="1" applyFill="1" applyBorder="1" applyAlignment="1">
      <alignment horizontal="right" vertical="center" wrapText="1"/>
    </xf>
    <xf numFmtId="0" fontId="32" fillId="0" borderId="29" xfId="0" applyFont="1" applyBorder="1" applyAlignment="1">
      <alignment horizontal="justify" vertical="top" wrapText="1"/>
    </xf>
    <xf numFmtId="0" fontId="3" fillId="0" borderId="30" xfId="0" applyFont="1" applyFill="1" applyBorder="1" applyAlignment="1">
      <alignment horizontal="center" vertical="center" wrapText="1"/>
    </xf>
    <xf numFmtId="43" fontId="8" fillId="0" borderId="10" xfId="0" applyNumberFormat="1" applyFont="1" applyBorder="1" applyAlignment="1">
      <alignment/>
    </xf>
    <xf numFmtId="6" fontId="30" fillId="0" borderId="0" xfId="47" applyNumberFormat="1" applyFont="1" applyAlignment="1">
      <alignment horizontal="right" vertical="justify"/>
    </xf>
    <xf numFmtId="0" fontId="32" fillId="0" borderId="17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44" fontId="23" fillId="7" borderId="27" xfId="49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32" fillId="0" borderId="31" xfId="0" applyFont="1" applyBorder="1" applyAlignment="1">
      <alignment horizontal="justify" vertical="top" wrapText="1"/>
    </xf>
    <xf numFmtId="0" fontId="32" fillId="0" borderId="32" xfId="0" applyFont="1" applyBorder="1" applyAlignment="1">
      <alignment horizontal="justify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43" fontId="3" fillId="0" borderId="31" xfId="47" applyFont="1" applyFill="1" applyBorder="1" applyAlignment="1">
      <alignment horizontal="center" vertical="center" wrapText="1"/>
    </xf>
    <xf numFmtId="43" fontId="3" fillId="0" borderId="34" xfId="47" applyFont="1" applyFill="1" applyBorder="1" applyAlignment="1">
      <alignment horizontal="center" vertical="center" wrapText="1"/>
    </xf>
    <xf numFmtId="43" fontId="3" fillId="0" borderId="32" xfId="47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justify"/>
    </xf>
    <xf numFmtId="0" fontId="2" fillId="7" borderId="2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2" xfId="0" applyFont="1" applyFill="1" applyBorder="1" applyAlignment="1">
      <alignment horizontal="justify" vertical="top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2" fontId="14" fillId="7" borderId="27" xfId="0" applyNumberFormat="1" applyFont="1" applyFill="1" applyBorder="1" applyAlignment="1">
      <alignment horizontal="center" vertical="justify"/>
    </xf>
    <xf numFmtId="0" fontId="7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7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7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center" vertical="top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3" fontId="27" fillId="7" borderId="45" xfId="0" applyNumberFormat="1" applyFont="1" applyFill="1" applyBorder="1" applyAlignment="1">
      <alignment horizontal="center"/>
    </xf>
    <xf numFmtId="3" fontId="27" fillId="7" borderId="46" xfId="0" applyNumberFormat="1" applyFont="1" applyFill="1" applyBorder="1" applyAlignment="1">
      <alignment horizontal="center"/>
    </xf>
    <xf numFmtId="0" fontId="28" fillId="0" borderId="40" xfId="0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3" fontId="28" fillId="7" borderId="47" xfId="0" applyNumberFormat="1" applyFont="1" applyFill="1" applyBorder="1" applyAlignment="1">
      <alignment horizontal="center"/>
    </xf>
    <xf numFmtId="3" fontId="28" fillId="7" borderId="48" xfId="0" applyNumberFormat="1" applyFont="1" applyFill="1" applyBorder="1" applyAlignment="1">
      <alignment horizontal="center"/>
    </xf>
    <xf numFmtId="3" fontId="27" fillId="7" borderId="35" xfId="0" applyNumberFormat="1" applyFont="1" applyFill="1" applyBorder="1" applyAlignment="1">
      <alignment horizontal="center"/>
    </xf>
    <xf numFmtId="3" fontId="27" fillId="7" borderId="39" xfId="0" applyNumberFormat="1" applyFont="1" applyFill="1" applyBorder="1" applyAlignment="1">
      <alignment horizontal="center"/>
    </xf>
    <xf numFmtId="3" fontId="27" fillId="7" borderId="12" xfId="0" applyNumberFormat="1" applyFont="1" applyFill="1" applyBorder="1" applyAlignment="1">
      <alignment horizontal="center"/>
    </xf>
    <xf numFmtId="3" fontId="27" fillId="7" borderId="13" xfId="0" applyNumberFormat="1" applyFont="1" applyFill="1" applyBorder="1" applyAlignment="1">
      <alignment horizontal="center"/>
    </xf>
    <xf numFmtId="3" fontId="27" fillId="7" borderId="14" xfId="0" applyNumberFormat="1" applyFont="1" applyFill="1" applyBorder="1" applyAlignment="1">
      <alignment horizontal="center"/>
    </xf>
    <xf numFmtId="3" fontId="27" fillId="7" borderId="49" xfId="0" applyNumberFormat="1" applyFont="1" applyFill="1" applyBorder="1" applyAlignment="1">
      <alignment horizontal="center" wrapText="1"/>
    </xf>
    <xf numFmtId="3" fontId="27" fillId="7" borderId="5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justify" vertical="center" wrapText="1"/>
    </xf>
    <xf numFmtId="43" fontId="28" fillId="0" borderId="10" xfId="47" applyFont="1" applyBorder="1" applyAlignment="1">
      <alignment horizontal="right"/>
    </xf>
    <xf numFmtId="43" fontId="27" fillId="0" borderId="10" xfId="47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14"/>
      <c:depthPercent val="100"/>
      <c:rAngAx val="1"/>
    </c:view3D>
    <c:plotArea>
      <c:layout>
        <c:manualLayout>
          <c:xMode val="edge"/>
          <c:yMode val="edge"/>
          <c:x val="0.085"/>
          <c:y val="0.08125"/>
          <c:w val="0.828"/>
          <c:h val="0.75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C0C0C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$ 435.000.000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Grafico!$B$3:$B$38</c:f>
              <c:strCache/>
            </c:strRef>
          </c:cat>
          <c:val>
            <c:numRef>
              <c:f>Grafico!$C$3:$C$38</c:f>
              <c:numCache/>
            </c:numRef>
          </c:val>
        </c:ser>
        <c:firstSliceAng val="114"/>
      </c:pie3DChart>
      <c:spPr>
        <a:solidFill>
          <a:srgbClr val="00FF00"/>
        </a:solidFill>
        <a:ln w="127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b"/>
      <c:layout>
        <c:manualLayout>
          <c:xMode val="edge"/>
          <c:yMode val="edge"/>
          <c:x val="0.1575"/>
          <c:y val="0.91775"/>
          <c:w val="0.68325"/>
          <c:h val="0.05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43</xdr:row>
      <xdr:rowOff>28575</xdr:rowOff>
    </xdr:from>
    <xdr:to>
      <xdr:col>5</xdr:col>
      <xdr:colOff>1276350</xdr:colOff>
      <xdr:row>67</xdr:row>
      <xdr:rowOff>28575</xdr:rowOff>
    </xdr:to>
    <xdr:graphicFrame>
      <xdr:nvGraphicFramePr>
        <xdr:cNvPr id="1" name="2 Gráfico"/>
        <xdr:cNvGraphicFramePr/>
      </xdr:nvGraphicFramePr>
      <xdr:xfrm>
        <a:off x="0" y="1495425"/>
        <a:ext cx="50482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ice.sice-cgr.gov.co/jsp/sice_servicio.jsp?seleccionCUBS=1.52.1.75&amp;nombreCUBS=TONER&amp;tipoSE=B&amp;servicio=cubs.ConsultarCubs" TargetMode="External" /><Relationship Id="rId2" Type="http://schemas.openxmlformats.org/officeDocument/2006/relationships/hyperlink" Target="https://sice.sice-cgr.gov.co/jsp/sice_servicio.jsp?seleccionCUBS=1.52.1.38&amp;nombreCUBS=LAPIZ&amp;tipoSE=B&amp;servicio=cubs.ConsultarCub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.57421875" style="6" customWidth="1"/>
    <col min="2" max="2" width="43.8515625" style="6" customWidth="1"/>
    <col min="3" max="3" width="14.7109375" style="6" customWidth="1"/>
    <col min="4" max="4" width="14.8515625" style="6" customWidth="1"/>
    <col min="5" max="5" width="9.00390625" style="6" customWidth="1"/>
    <col min="6" max="6" width="7.57421875" style="6" customWidth="1"/>
    <col min="7" max="7" width="10.140625" style="6" customWidth="1"/>
    <col min="8" max="8" width="24.28125" style="6" customWidth="1"/>
    <col min="9" max="9" width="8.00390625" style="6" customWidth="1"/>
    <col min="10" max="10" width="13.57421875" style="6" customWidth="1"/>
    <col min="11" max="11" width="5.421875" style="6" customWidth="1"/>
    <col min="12" max="16384" width="11.421875" style="6" customWidth="1"/>
  </cols>
  <sheetData>
    <row r="1" spans="1:10" s="26" customFormat="1" ht="18">
      <c r="A1" s="298" t="s">
        <v>315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0" ht="5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s="15" customFormat="1" ht="17.25" customHeight="1">
      <c r="A3" s="299" t="s">
        <v>7</v>
      </c>
      <c r="B3" s="299"/>
      <c r="C3" s="253"/>
      <c r="D3" s="307" t="s">
        <v>251</v>
      </c>
      <c r="E3" s="307"/>
      <c r="F3" s="307"/>
      <c r="G3" s="307"/>
      <c r="H3" s="307"/>
      <c r="I3" s="186" t="s">
        <v>117</v>
      </c>
      <c r="J3" s="186">
        <v>1139001</v>
      </c>
    </row>
    <row r="4" spans="1:10" s="15" customFormat="1" ht="15" customHeight="1">
      <c r="A4" s="116"/>
      <c r="B4" s="116"/>
      <c r="C4" s="116"/>
      <c r="D4" s="300"/>
      <c r="E4" s="300"/>
      <c r="F4" s="300"/>
      <c r="G4" s="300"/>
      <c r="H4" s="300"/>
      <c r="I4" s="300"/>
      <c r="J4" s="300"/>
    </row>
    <row r="5" spans="1:10" s="15" customFormat="1" ht="14.25">
      <c r="A5" s="117" t="s">
        <v>8</v>
      </c>
      <c r="B5" s="118"/>
      <c r="C5" s="118"/>
      <c r="D5" s="278">
        <v>567908000</v>
      </c>
      <c r="E5" s="119"/>
      <c r="F5" s="119"/>
      <c r="G5" s="119"/>
      <c r="H5" s="119"/>
      <c r="I5" s="119"/>
      <c r="J5" s="119"/>
    </row>
    <row r="6" spans="1:10" ht="12.7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s="13" customFormat="1" ht="13.5" thickBot="1">
      <c r="A7" s="120" t="s">
        <v>10</v>
      </c>
      <c r="B7" s="6"/>
      <c r="C7" s="6"/>
      <c r="D7" s="6"/>
      <c r="E7" s="6"/>
      <c r="F7" s="6"/>
      <c r="G7" s="6"/>
      <c r="H7" s="6"/>
      <c r="I7" s="6"/>
      <c r="J7" s="121" t="s">
        <v>11</v>
      </c>
    </row>
    <row r="8" spans="1:10" s="19" customFormat="1" ht="16.5" customHeight="1">
      <c r="A8" s="302" t="s">
        <v>49</v>
      </c>
      <c r="B8" s="304" t="s">
        <v>1</v>
      </c>
      <c r="C8" s="293" t="s">
        <v>316</v>
      </c>
      <c r="D8" s="304" t="s">
        <v>9</v>
      </c>
      <c r="E8" s="301" t="s">
        <v>0</v>
      </c>
      <c r="F8" s="301"/>
      <c r="G8" s="301"/>
      <c r="H8" s="304" t="s">
        <v>50</v>
      </c>
      <c r="I8" s="304" t="s">
        <v>51</v>
      </c>
      <c r="J8" s="306" t="s">
        <v>3</v>
      </c>
    </row>
    <row r="9" spans="1:10" s="19" customFormat="1" ht="26.25" customHeight="1">
      <c r="A9" s="303"/>
      <c r="B9" s="305"/>
      <c r="C9" s="294"/>
      <c r="D9" s="305"/>
      <c r="E9" s="183" t="s">
        <v>2</v>
      </c>
      <c r="F9" s="183" t="s">
        <v>6</v>
      </c>
      <c r="G9" s="183" t="s">
        <v>152</v>
      </c>
      <c r="H9" s="305"/>
      <c r="I9" s="305"/>
      <c r="J9" s="306"/>
    </row>
    <row r="10" spans="1:10" s="19" customFormat="1" ht="60">
      <c r="A10" s="184">
        <v>1</v>
      </c>
      <c r="B10" s="266" t="s">
        <v>222</v>
      </c>
      <c r="C10" s="274">
        <v>120175674</v>
      </c>
      <c r="D10" s="163" t="s">
        <v>235</v>
      </c>
      <c r="E10" s="185">
        <v>39479</v>
      </c>
      <c r="F10" s="185">
        <v>11658</v>
      </c>
      <c r="G10" s="163">
        <v>11</v>
      </c>
      <c r="H10" s="267" t="s">
        <v>223</v>
      </c>
      <c r="I10" s="163">
        <v>5</v>
      </c>
      <c r="J10" s="161" t="s">
        <v>220</v>
      </c>
    </row>
    <row r="11" spans="1:10" s="19" customFormat="1" ht="24" customHeight="1">
      <c r="A11" s="159">
        <v>2</v>
      </c>
      <c r="B11" s="160" t="s">
        <v>217</v>
      </c>
      <c r="C11" s="269">
        <v>66010083</v>
      </c>
      <c r="D11" s="163" t="s">
        <v>235</v>
      </c>
      <c r="E11" s="162">
        <v>39479</v>
      </c>
      <c r="F11" s="162">
        <v>39783</v>
      </c>
      <c r="G11" s="161">
        <v>11</v>
      </c>
      <c r="H11" s="289" t="s">
        <v>225</v>
      </c>
      <c r="I11" s="291">
        <v>35</v>
      </c>
      <c r="J11" s="161" t="s">
        <v>220</v>
      </c>
    </row>
    <row r="12" spans="1:10" s="19" customFormat="1" ht="18.75" customHeight="1">
      <c r="A12" s="308">
        <v>3</v>
      </c>
      <c r="B12" s="310" t="s">
        <v>254</v>
      </c>
      <c r="C12" s="295">
        <v>280851333</v>
      </c>
      <c r="D12" s="163" t="s">
        <v>318</v>
      </c>
      <c r="E12" s="162">
        <v>39479</v>
      </c>
      <c r="F12" s="162">
        <v>39783</v>
      </c>
      <c r="G12" s="161">
        <v>11</v>
      </c>
      <c r="H12" s="290"/>
      <c r="I12" s="292"/>
      <c r="J12" s="161" t="s">
        <v>233</v>
      </c>
    </row>
    <row r="13" spans="1:10" s="19" customFormat="1" ht="21" customHeight="1">
      <c r="A13" s="305"/>
      <c r="B13" s="311"/>
      <c r="C13" s="296"/>
      <c r="D13" s="163" t="s">
        <v>318</v>
      </c>
      <c r="E13" s="162">
        <v>39479</v>
      </c>
      <c r="F13" s="162">
        <v>39783</v>
      </c>
      <c r="G13" s="161">
        <v>11</v>
      </c>
      <c r="H13" s="279" t="s">
        <v>226</v>
      </c>
      <c r="I13" s="161">
        <v>2</v>
      </c>
      <c r="J13" s="161" t="s">
        <v>234</v>
      </c>
    </row>
    <row r="14" spans="1:10" s="19" customFormat="1" ht="96">
      <c r="A14" s="309"/>
      <c r="B14" s="312"/>
      <c r="C14" s="297"/>
      <c r="D14" s="163" t="s">
        <v>235</v>
      </c>
      <c r="E14" s="166">
        <v>39479</v>
      </c>
      <c r="F14" s="166">
        <v>39783</v>
      </c>
      <c r="G14" s="165">
        <v>11</v>
      </c>
      <c r="H14" s="268" t="s">
        <v>224</v>
      </c>
      <c r="I14" s="167">
        <v>1</v>
      </c>
      <c r="J14" s="161" t="s">
        <v>233</v>
      </c>
    </row>
    <row r="15" spans="1:10" s="19" customFormat="1" ht="21">
      <c r="A15" s="159">
        <v>4</v>
      </c>
      <c r="B15" s="190" t="s">
        <v>230</v>
      </c>
      <c r="C15" s="271">
        <v>30930708</v>
      </c>
      <c r="D15" s="163" t="s">
        <v>318</v>
      </c>
      <c r="E15" s="166">
        <v>39479</v>
      </c>
      <c r="F15" s="166">
        <v>39783</v>
      </c>
      <c r="G15" s="136">
        <v>11</v>
      </c>
      <c r="H15" s="288" t="s">
        <v>229</v>
      </c>
      <c r="I15" s="288">
        <v>150</v>
      </c>
      <c r="J15" s="161" t="s">
        <v>220</v>
      </c>
    </row>
    <row r="16" spans="1:10" s="19" customFormat="1" ht="21">
      <c r="A16" s="159">
        <v>5</v>
      </c>
      <c r="B16" s="190" t="s">
        <v>231</v>
      </c>
      <c r="C16" s="270">
        <v>30930708</v>
      </c>
      <c r="D16" s="163" t="s">
        <v>318</v>
      </c>
      <c r="E16" s="166">
        <v>39479</v>
      </c>
      <c r="F16" s="166">
        <v>39783</v>
      </c>
      <c r="G16" s="170">
        <v>11</v>
      </c>
      <c r="H16" s="288"/>
      <c r="I16" s="288"/>
      <c r="J16" s="161" t="s">
        <v>220</v>
      </c>
    </row>
    <row r="17" spans="1:10" s="19" customFormat="1" ht="21">
      <c r="A17" s="171">
        <v>6</v>
      </c>
      <c r="B17" s="188" t="s">
        <v>232</v>
      </c>
      <c r="C17" s="272">
        <v>25851333</v>
      </c>
      <c r="D17" s="163" t="s">
        <v>318</v>
      </c>
      <c r="E17" s="166">
        <v>39479</v>
      </c>
      <c r="F17" s="166">
        <v>39783</v>
      </c>
      <c r="G17" s="170">
        <v>11</v>
      </c>
      <c r="H17" s="288"/>
      <c r="I17" s="288"/>
      <c r="J17" s="161" t="s">
        <v>255</v>
      </c>
    </row>
    <row r="18" spans="1:10" s="19" customFormat="1" ht="21">
      <c r="A18" s="171">
        <v>7</v>
      </c>
      <c r="B18" s="275" t="s">
        <v>227</v>
      </c>
      <c r="C18" s="273"/>
      <c r="D18" s="276" t="s">
        <v>318</v>
      </c>
      <c r="E18" s="162">
        <v>39479</v>
      </c>
      <c r="F18" s="162">
        <v>39783</v>
      </c>
      <c r="G18" s="161">
        <v>11</v>
      </c>
      <c r="H18" s="161" t="s">
        <v>228</v>
      </c>
      <c r="I18" s="168">
        <v>0</v>
      </c>
      <c r="J18" s="160" t="s">
        <v>220</v>
      </c>
    </row>
    <row r="19" s="13" customFormat="1" ht="11.25" customHeight="1">
      <c r="C19" s="277">
        <f>SUM(C1:C18)</f>
        <v>554749839</v>
      </c>
    </row>
    <row r="20" s="13" customFormat="1" ht="11.25"/>
    <row r="21" s="13" customFormat="1" ht="11.25"/>
    <row r="22" s="13" customFormat="1" ht="11.25"/>
    <row r="23" s="13" customFormat="1" ht="11.25"/>
    <row r="24" s="13" customFormat="1" ht="11.25"/>
    <row r="25" s="13" customFormat="1" ht="11.25"/>
    <row r="26" s="13" customFormat="1" ht="11.25"/>
    <row r="27" s="13" customFormat="1" ht="11.25"/>
    <row r="28" s="13" customFormat="1" ht="11.25"/>
    <row r="29" s="13" customFormat="1" ht="11.25"/>
    <row r="30" s="13" customFormat="1" ht="11.25"/>
    <row r="31" s="13" customFormat="1" ht="11.25"/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="13" customFormat="1" ht="11.25"/>
    <row r="41" s="13" customFormat="1" ht="11.25"/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</sheetData>
  <sheetProtection/>
  <mergeCells count="19">
    <mergeCell ref="A12:A14"/>
    <mergeCell ref="D8:D9"/>
    <mergeCell ref="H15:H17"/>
    <mergeCell ref="B12:B14"/>
    <mergeCell ref="A1:J1"/>
    <mergeCell ref="A3:B3"/>
    <mergeCell ref="D4:J4"/>
    <mergeCell ref="E8:G8"/>
    <mergeCell ref="A8:A9"/>
    <mergeCell ref="I8:I9"/>
    <mergeCell ref="J8:J9"/>
    <mergeCell ref="D3:H3"/>
    <mergeCell ref="H8:H9"/>
    <mergeCell ref="B8:B9"/>
    <mergeCell ref="I15:I17"/>
    <mergeCell ref="H11:H12"/>
    <mergeCell ref="I11:I12"/>
    <mergeCell ref="C8:C9"/>
    <mergeCell ref="C12:C14"/>
  </mergeCells>
  <printOptions horizontalCentered="1" verticalCentered="1"/>
  <pageMargins left="0.3937007874015748" right="0.3937007874015748" top="1.4566929133858268" bottom="1.5748031496062993" header="0" footer="0.3937007874015748"/>
  <pageSetup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9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29.57421875" style="0" customWidth="1"/>
    <col min="2" max="21" width="6.7109375" style="0" customWidth="1"/>
  </cols>
  <sheetData>
    <row r="3" spans="1:21" ht="18">
      <c r="A3" s="360" t="s">
        <v>314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</row>
    <row r="6" ht="12.75">
      <c r="A6" s="197" t="s">
        <v>286</v>
      </c>
    </row>
    <row r="7" ht="13.5" thickBot="1"/>
    <row r="8" spans="1:21" ht="12.75">
      <c r="A8" s="214" t="s">
        <v>282</v>
      </c>
      <c r="B8" s="358" t="s">
        <v>272</v>
      </c>
      <c r="C8" s="358"/>
      <c r="D8" s="358" t="s">
        <v>273</v>
      </c>
      <c r="E8" s="358"/>
      <c r="F8" s="358" t="s">
        <v>274</v>
      </c>
      <c r="G8" s="358"/>
      <c r="H8" s="358" t="s">
        <v>275</v>
      </c>
      <c r="I8" s="358"/>
      <c r="J8" s="358" t="s">
        <v>276</v>
      </c>
      <c r="K8" s="358"/>
      <c r="L8" s="358" t="s">
        <v>277</v>
      </c>
      <c r="M8" s="358"/>
      <c r="N8" s="358" t="s">
        <v>278</v>
      </c>
      <c r="O8" s="358"/>
      <c r="P8" s="358" t="s">
        <v>279</v>
      </c>
      <c r="Q8" s="358"/>
      <c r="R8" s="358" t="s">
        <v>280</v>
      </c>
      <c r="S8" s="358"/>
      <c r="T8" s="358" t="s">
        <v>281</v>
      </c>
      <c r="U8" s="359"/>
    </row>
    <row r="9" spans="1:21" ht="25.5">
      <c r="A9" s="215" t="s">
        <v>287</v>
      </c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8"/>
    </row>
    <row r="10" spans="1:21" ht="25.5">
      <c r="A10" s="215" t="s">
        <v>288</v>
      </c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8"/>
    </row>
    <row r="11" spans="1:21" ht="38.25">
      <c r="A11" s="215" t="s">
        <v>271</v>
      </c>
      <c r="B11" s="217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/>
    </row>
    <row r="12" spans="1:21" ht="12.75">
      <c r="A12" s="215" t="s">
        <v>268</v>
      </c>
      <c r="B12" s="217"/>
      <c r="C12" s="217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8"/>
    </row>
    <row r="13" spans="1:21" ht="38.25">
      <c r="A13" s="215" t="s">
        <v>289</v>
      </c>
      <c r="B13" s="217"/>
      <c r="C13" s="217"/>
      <c r="D13" s="216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8"/>
    </row>
    <row r="14" spans="1:21" ht="12.75">
      <c r="A14" s="215" t="s">
        <v>270</v>
      </c>
      <c r="B14" s="217"/>
      <c r="C14" s="217"/>
      <c r="D14" s="217"/>
      <c r="E14" s="217"/>
      <c r="F14" s="219"/>
      <c r="G14" s="219"/>
      <c r="H14" s="219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8"/>
    </row>
    <row r="15" spans="1:21" ht="12.75">
      <c r="A15" s="215" t="s">
        <v>290</v>
      </c>
      <c r="B15" s="217"/>
      <c r="C15" s="217"/>
      <c r="D15" s="217"/>
      <c r="E15" s="217"/>
      <c r="F15" s="217"/>
      <c r="G15" s="217"/>
      <c r="H15" s="217"/>
      <c r="I15" s="219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8"/>
    </row>
    <row r="16" spans="1:21" ht="13.5" thickBot="1">
      <c r="A16" s="220" t="s">
        <v>269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40"/>
      <c r="L16" s="221"/>
      <c r="M16" s="240"/>
      <c r="N16" s="221"/>
      <c r="O16" s="240"/>
      <c r="P16" s="221"/>
      <c r="Q16" s="240"/>
      <c r="R16" s="221"/>
      <c r="S16" s="240"/>
      <c r="T16" s="221"/>
      <c r="U16" s="241"/>
    </row>
    <row r="18" spans="1:2" ht="12.75">
      <c r="A18" s="239" t="s">
        <v>283</v>
      </c>
      <c r="B18" s="216"/>
    </row>
    <row r="19" spans="1:2" ht="12.75">
      <c r="A19" s="239" t="s">
        <v>285</v>
      </c>
      <c r="B19" s="219"/>
    </row>
    <row r="22" ht="12.75">
      <c r="A22" s="197" t="s">
        <v>291</v>
      </c>
    </row>
    <row r="23" ht="13.5" thickBot="1"/>
    <row r="24" spans="1:21" ht="12.75">
      <c r="A24" s="214" t="s">
        <v>282</v>
      </c>
      <c r="B24" s="358" t="s">
        <v>272</v>
      </c>
      <c r="C24" s="358"/>
      <c r="D24" s="358" t="s">
        <v>273</v>
      </c>
      <c r="E24" s="358"/>
      <c r="F24" s="358" t="s">
        <v>274</v>
      </c>
      <c r="G24" s="358"/>
      <c r="H24" s="358" t="s">
        <v>275</v>
      </c>
      <c r="I24" s="358"/>
      <c r="J24" s="358" t="s">
        <v>276</v>
      </c>
      <c r="K24" s="358"/>
      <c r="L24" s="358" t="s">
        <v>277</v>
      </c>
      <c r="M24" s="358"/>
      <c r="N24" s="358" t="s">
        <v>278</v>
      </c>
      <c r="O24" s="358"/>
      <c r="P24" s="358" t="s">
        <v>279</v>
      </c>
      <c r="Q24" s="358"/>
      <c r="R24" s="358" t="s">
        <v>280</v>
      </c>
      <c r="S24" s="358"/>
      <c r="T24" s="358" t="s">
        <v>281</v>
      </c>
      <c r="U24" s="359"/>
    </row>
    <row r="25" spans="1:21" ht="51">
      <c r="A25" s="215" t="s">
        <v>292</v>
      </c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8"/>
    </row>
    <row r="26" spans="1:21" ht="25.5">
      <c r="A26" s="215" t="s">
        <v>288</v>
      </c>
      <c r="B26" s="216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8"/>
    </row>
    <row r="27" spans="1:21" ht="51">
      <c r="A27" s="215" t="s">
        <v>293</v>
      </c>
      <c r="B27" s="217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8"/>
    </row>
    <row r="28" spans="1:21" ht="12.75">
      <c r="A28" s="215" t="s">
        <v>268</v>
      </c>
      <c r="B28" s="217"/>
      <c r="C28" s="217"/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8"/>
    </row>
    <row r="29" spans="1:21" ht="38.25">
      <c r="A29" s="215" t="s">
        <v>294</v>
      </c>
      <c r="B29" s="217"/>
      <c r="C29" s="217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8"/>
    </row>
    <row r="30" spans="1:21" ht="12.75">
      <c r="A30" s="215" t="s">
        <v>270</v>
      </c>
      <c r="B30" s="217"/>
      <c r="C30" s="217"/>
      <c r="D30" s="217"/>
      <c r="E30" s="217"/>
      <c r="F30" s="219"/>
      <c r="G30" s="219"/>
      <c r="H30" s="219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8"/>
    </row>
    <row r="31" spans="1:21" ht="12.75">
      <c r="A31" s="215" t="s">
        <v>290</v>
      </c>
      <c r="B31" s="217"/>
      <c r="C31" s="217"/>
      <c r="D31" s="217"/>
      <c r="E31" s="217"/>
      <c r="F31" s="217"/>
      <c r="G31" s="217"/>
      <c r="H31" s="217"/>
      <c r="I31" s="219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8"/>
    </row>
    <row r="32" spans="1:21" ht="13.5" thickBot="1">
      <c r="A32" s="220" t="s">
        <v>269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40"/>
      <c r="L32" s="221"/>
      <c r="M32" s="240"/>
      <c r="N32" s="221"/>
      <c r="O32" s="240"/>
      <c r="P32" s="221"/>
      <c r="Q32" s="240"/>
      <c r="R32" s="221"/>
      <c r="S32" s="240"/>
      <c r="T32" s="221"/>
      <c r="U32" s="241"/>
    </row>
    <row r="34" spans="1:2" ht="12.75">
      <c r="A34" s="239" t="s">
        <v>283</v>
      </c>
      <c r="B34" s="216"/>
    </row>
    <row r="35" spans="1:2" ht="12.75">
      <c r="A35" s="239" t="s">
        <v>285</v>
      </c>
      <c r="B35" s="219"/>
    </row>
    <row r="38" spans="1:21" ht="12.75">
      <c r="A38" s="361" t="s">
        <v>295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</row>
    <row r="39" spans="1:21" ht="12.75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</row>
    <row r="40" ht="13.5" thickBot="1"/>
    <row r="41" spans="1:21" ht="12.75">
      <c r="A41" s="214" t="s">
        <v>282</v>
      </c>
      <c r="B41" s="358" t="s">
        <v>272</v>
      </c>
      <c r="C41" s="358"/>
      <c r="D41" s="358" t="s">
        <v>273</v>
      </c>
      <c r="E41" s="358"/>
      <c r="F41" s="358" t="s">
        <v>274</v>
      </c>
      <c r="G41" s="358"/>
      <c r="H41" s="358" t="s">
        <v>275</v>
      </c>
      <c r="I41" s="358"/>
      <c r="J41" s="358" t="s">
        <v>276</v>
      </c>
      <c r="K41" s="358"/>
      <c r="L41" s="358" t="s">
        <v>277</v>
      </c>
      <c r="M41" s="358"/>
      <c r="N41" s="358" t="s">
        <v>278</v>
      </c>
      <c r="O41" s="358"/>
      <c r="P41" s="358" t="s">
        <v>279</v>
      </c>
      <c r="Q41" s="358"/>
      <c r="R41" s="358" t="s">
        <v>280</v>
      </c>
      <c r="S41" s="358"/>
      <c r="T41" s="358" t="s">
        <v>281</v>
      </c>
      <c r="U41" s="359"/>
    </row>
    <row r="42" spans="1:21" ht="51">
      <c r="A42" s="242" t="s">
        <v>292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8"/>
    </row>
    <row r="43" spans="1:21" ht="25.5">
      <c r="A43" s="242" t="s">
        <v>288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8"/>
    </row>
    <row r="44" spans="1:21" ht="51">
      <c r="A44" s="242" t="s">
        <v>293</v>
      </c>
      <c r="B44" s="217"/>
      <c r="C44" s="216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8"/>
    </row>
    <row r="45" spans="1:21" ht="12.75">
      <c r="A45" s="242" t="s">
        <v>268</v>
      </c>
      <c r="B45" s="217"/>
      <c r="C45" s="217"/>
      <c r="D45" s="216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8"/>
    </row>
    <row r="46" spans="1:21" ht="38.25">
      <c r="A46" s="242" t="s">
        <v>294</v>
      </c>
      <c r="B46" s="217"/>
      <c r="C46" s="217"/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8"/>
    </row>
    <row r="47" spans="1:21" ht="12.75">
      <c r="A47" s="242" t="s">
        <v>270</v>
      </c>
      <c r="B47" s="217"/>
      <c r="C47" s="217"/>
      <c r="D47" s="217"/>
      <c r="E47" s="217"/>
      <c r="F47" s="219"/>
      <c r="G47" s="219"/>
      <c r="H47" s="219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8"/>
    </row>
    <row r="48" spans="1:21" ht="12.75">
      <c r="A48" s="242" t="s">
        <v>290</v>
      </c>
      <c r="B48" s="217"/>
      <c r="C48" s="217"/>
      <c r="D48" s="217"/>
      <c r="E48" s="217"/>
      <c r="F48" s="217"/>
      <c r="G48" s="217"/>
      <c r="H48" s="217"/>
      <c r="I48" s="219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8"/>
    </row>
    <row r="49" spans="1:21" ht="13.5" thickBot="1">
      <c r="A49" s="243" t="s">
        <v>269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40"/>
      <c r="L49" s="221"/>
      <c r="M49" s="240"/>
      <c r="N49" s="221"/>
      <c r="O49" s="240"/>
      <c r="P49" s="221"/>
      <c r="Q49" s="240"/>
      <c r="R49" s="221"/>
      <c r="S49" s="240"/>
      <c r="T49" s="221"/>
      <c r="U49" s="241"/>
    </row>
    <row r="51" spans="1:2" ht="12.75">
      <c r="A51" s="244" t="s">
        <v>283</v>
      </c>
      <c r="B51" s="216"/>
    </row>
    <row r="52" spans="1:2" ht="12.75">
      <c r="A52" s="244" t="s">
        <v>285</v>
      </c>
      <c r="B52" s="219"/>
    </row>
    <row r="55" ht="12.75" customHeight="1">
      <c r="A55" s="197" t="s">
        <v>296</v>
      </c>
    </row>
    <row r="56" ht="13.5" thickBot="1"/>
    <row r="57" spans="1:21" ht="12.75">
      <c r="A57" s="214" t="s">
        <v>282</v>
      </c>
      <c r="B57" s="358" t="s">
        <v>272</v>
      </c>
      <c r="C57" s="358"/>
      <c r="D57" s="358" t="s">
        <v>273</v>
      </c>
      <c r="E57" s="358"/>
      <c r="F57" s="358" t="s">
        <v>274</v>
      </c>
      <c r="G57" s="358"/>
      <c r="H57" s="358" t="s">
        <v>275</v>
      </c>
      <c r="I57" s="358"/>
      <c r="J57" s="358" t="s">
        <v>276</v>
      </c>
      <c r="K57" s="358"/>
      <c r="L57" s="358" t="s">
        <v>277</v>
      </c>
      <c r="M57" s="358"/>
      <c r="N57" s="358" t="s">
        <v>278</v>
      </c>
      <c r="O57" s="358"/>
      <c r="P57" s="358" t="s">
        <v>279</v>
      </c>
      <c r="Q57" s="358"/>
      <c r="R57" s="358" t="s">
        <v>280</v>
      </c>
      <c r="S57" s="358"/>
      <c r="T57" s="358" t="s">
        <v>281</v>
      </c>
      <c r="U57" s="359"/>
    </row>
    <row r="58" spans="1:21" ht="38.25">
      <c r="A58" s="215" t="s">
        <v>297</v>
      </c>
      <c r="B58" s="216"/>
      <c r="C58" s="217"/>
      <c r="D58" s="223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8"/>
    </row>
    <row r="59" spans="1:21" ht="38.25">
      <c r="A59" s="215" t="s">
        <v>298</v>
      </c>
      <c r="B59" s="217"/>
      <c r="C59" s="236"/>
      <c r="D59" s="216"/>
      <c r="E59" s="216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8"/>
    </row>
    <row r="60" spans="1:21" ht="38.25">
      <c r="A60" s="215" t="s">
        <v>299</v>
      </c>
      <c r="B60" s="217"/>
      <c r="C60" s="217"/>
      <c r="D60" s="217"/>
      <c r="E60" s="217"/>
      <c r="F60" s="223"/>
      <c r="G60" s="219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8"/>
    </row>
    <row r="61" spans="1:21" ht="38.25">
      <c r="A61" s="215" t="s">
        <v>300</v>
      </c>
      <c r="B61" s="217"/>
      <c r="C61" s="217"/>
      <c r="D61" s="217"/>
      <c r="E61" s="217"/>
      <c r="F61" s="217"/>
      <c r="G61" s="217"/>
      <c r="H61" s="217"/>
      <c r="I61" s="219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8"/>
    </row>
    <row r="62" spans="1:21" ht="39" thickBot="1">
      <c r="A62" s="220" t="s">
        <v>301</v>
      </c>
      <c r="B62" s="229"/>
      <c r="C62" s="229"/>
      <c r="D62" s="229"/>
      <c r="E62" s="229"/>
      <c r="F62" s="229"/>
      <c r="G62" s="229"/>
      <c r="H62" s="229"/>
      <c r="I62" s="231"/>
      <c r="J62" s="229"/>
      <c r="K62" s="237"/>
      <c r="L62" s="229"/>
      <c r="M62" s="237"/>
      <c r="N62" s="229"/>
      <c r="O62" s="237"/>
      <c r="P62" s="229"/>
      <c r="Q62" s="237"/>
      <c r="R62" s="229"/>
      <c r="S62" s="237"/>
      <c r="T62" s="229"/>
      <c r="U62" s="230"/>
    </row>
    <row r="63" spans="1:21" ht="51">
      <c r="A63" s="228" t="s">
        <v>302</v>
      </c>
      <c r="B63" s="229"/>
      <c r="C63" s="229"/>
      <c r="D63" s="229"/>
      <c r="E63" s="229"/>
      <c r="F63" s="229"/>
      <c r="G63" s="229"/>
      <c r="H63" s="229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8"/>
      <c r="U63" s="232"/>
    </row>
    <row r="64" spans="1:21" ht="39" thickBot="1">
      <c r="A64" s="220" t="s">
        <v>303</v>
      </c>
      <c r="B64" s="221"/>
      <c r="C64" s="221"/>
      <c r="D64" s="221"/>
      <c r="E64" s="221"/>
      <c r="F64" s="221"/>
      <c r="G64" s="221"/>
      <c r="H64" s="221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2"/>
    </row>
    <row r="65" spans="1:21" ht="12.75">
      <c r="A65" s="233"/>
      <c r="B65" s="234"/>
      <c r="C65" s="234"/>
      <c r="D65" s="234"/>
      <c r="E65" s="234"/>
      <c r="F65" s="234"/>
      <c r="G65" s="234"/>
      <c r="H65" s="234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</row>
    <row r="66" spans="1:21" ht="12.75">
      <c r="A66" s="239" t="s">
        <v>283</v>
      </c>
      <c r="B66" s="216"/>
      <c r="C66" s="234"/>
      <c r="D66" s="234"/>
      <c r="E66" s="234"/>
      <c r="F66" s="234"/>
      <c r="G66" s="234"/>
      <c r="H66" s="234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</row>
    <row r="67" spans="1:21" ht="12.75">
      <c r="A67" s="239" t="s">
        <v>284</v>
      </c>
      <c r="B67" s="219"/>
      <c r="C67" s="234"/>
      <c r="D67" s="234"/>
      <c r="E67" s="234"/>
      <c r="F67" s="234"/>
      <c r="G67" s="234"/>
      <c r="H67" s="234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</row>
    <row r="70" ht="12.75">
      <c r="A70" s="197" t="s">
        <v>304</v>
      </c>
    </row>
    <row r="71" ht="13.5" thickBot="1"/>
    <row r="72" spans="1:21" ht="12.75">
      <c r="A72" s="214" t="s">
        <v>282</v>
      </c>
      <c r="B72" s="358" t="s">
        <v>272</v>
      </c>
      <c r="C72" s="358"/>
      <c r="D72" s="358" t="s">
        <v>273</v>
      </c>
      <c r="E72" s="358"/>
      <c r="F72" s="358" t="s">
        <v>274</v>
      </c>
      <c r="G72" s="358"/>
      <c r="H72" s="358" t="s">
        <v>275</v>
      </c>
      <c r="I72" s="358"/>
      <c r="J72" s="358" t="s">
        <v>276</v>
      </c>
      <c r="K72" s="358"/>
      <c r="L72" s="358" t="s">
        <v>277</v>
      </c>
      <c r="M72" s="358"/>
      <c r="N72" s="358" t="s">
        <v>278</v>
      </c>
      <c r="O72" s="358"/>
      <c r="P72" s="358" t="s">
        <v>279</v>
      </c>
      <c r="Q72" s="358"/>
      <c r="R72" s="358" t="s">
        <v>280</v>
      </c>
      <c r="S72" s="358"/>
      <c r="T72" s="358" t="s">
        <v>281</v>
      </c>
      <c r="U72" s="359"/>
    </row>
    <row r="73" spans="1:21" ht="38.25">
      <c r="A73" s="215" t="s">
        <v>297</v>
      </c>
      <c r="B73" s="216"/>
      <c r="C73" s="217"/>
      <c r="D73" s="223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8"/>
    </row>
    <row r="74" spans="1:21" ht="38.25">
      <c r="A74" s="215" t="s">
        <v>306</v>
      </c>
      <c r="B74" s="217"/>
      <c r="C74" s="217"/>
      <c r="D74" s="216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8"/>
    </row>
    <row r="75" spans="1:21" ht="12.75">
      <c r="A75" s="215" t="s">
        <v>270</v>
      </c>
      <c r="B75" s="217"/>
      <c r="C75" s="217"/>
      <c r="D75" s="217"/>
      <c r="E75" s="217"/>
      <c r="F75" s="219"/>
      <c r="G75" s="219"/>
      <c r="H75" s="219"/>
      <c r="I75" s="219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8"/>
    </row>
    <row r="76" spans="1:21" ht="26.25" thickBot="1">
      <c r="A76" s="215" t="s">
        <v>307</v>
      </c>
      <c r="B76" s="221"/>
      <c r="C76" s="221"/>
      <c r="D76" s="221"/>
      <c r="E76" s="221"/>
      <c r="F76" s="221"/>
      <c r="G76" s="221"/>
      <c r="H76" s="221"/>
      <c r="I76" s="221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25"/>
      <c r="U76" s="226"/>
    </row>
    <row r="78" spans="1:2" ht="12.75">
      <c r="A78" s="239" t="s">
        <v>283</v>
      </c>
      <c r="B78" s="216"/>
    </row>
    <row r="79" spans="1:2" ht="12.75">
      <c r="A79" s="239" t="s">
        <v>284</v>
      </c>
      <c r="B79" s="219"/>
    </row>
    <row r="82" ht="12.75">
      <c r="A82" s="227" t="s">
        <v>305</v>
      </c>
    </row>
    <row r="83" ht="13.5" thickBot="1"/>
    <row r="84" spans="1:21" ht="12.75">
      <c r="A84" s="214" t="s">
        <v>282</v>
      </c>
      <c r="B84" s="358" t="s">
        <v>272</v>
      </c>
      <c r="C84" s="358"/>
      <c r="D84" s="358" t="s">
        <v>273</v>
      </c>
      <c r="E84" s="358"/>
      <c r="F84" s="358" t="s">
        <v>274</v>
      </c>
      <c r="G84" s="358"/>
      <c r="H84" s="358" t="s">
        <v>275</v>
      </c>
      <c r="I84" s="358"/>
      <c r="J84" s="358" t="s">
        <v>276</v>
      </c>
      <c r="K84" s="358"/>
      <c r="L84" s="358" t="s">
        <v>277</v>
      </c>
      <c r="M84" s="358"/>
      <c r="N84" s="358" t="s">
        <v>278</v>
      </c>
      <c r="O84" s="358"/>
      <c r="P84" s="358" t="s">
        <v>279</v>
      </c>
      <c r="Q84" s="358"/>
      <c r="R84" s="358" t="s">
        <v>280</v>
      </c>
      <c r="S84" s="358"/>
      <c r="T84" s="358" t="s">
        <v>281</v>
      </c>
      <c r="U84" s="359"/>
    </row>
    <row r="85" spans="1:21" ht="63.75">
      <c r="A85" s="215" t="s">
        <v>308</v>
      </c>
      <c r="B85" s="223"/>
      <c r="C85" s="217"/>
      <c r="D85" s="217"/>
      <c r="E85" s="217"/>
      <c r="F85" s="248"/>
      <c r="G85" s="248"/>
      <c r="H85" s="248"/>
      <c r="I85" s="248"/>
      <c r="J85" s="223"/>
      <c r="K85" s="223"/>
      <c r="L85" s="223"/>
      <c r="M85" s="223"/>
      <c r="N85" s="223"/>
      <c r="O85" s="223"/>
      <c r="P85" s="249"/>
      <c r="Q85" s="249"/>
      <c r="R85" s="249"/>
      <c r="S85" s="249"/>
      <c r="T85" s="249"/>
      <c r="U85" s="250"/>
    </row>
    <row r="86" spans="1:21" ht="25.5">
      <c r="A86" s="215" t="s">
        <v>309</v>
      </c>
      <c r="B86" s="223"/>
      <c r="C86" s="217"/>
      <c r="D86" s="217"/>
      <c r="E86" s="217"/>
      <c r="F86" s="248"/>
      <c r="G86" s="248"/>
      <c r="H86" s="248"/>
      <c r="I86" s="248"/>
      <c r="J86" s="223"/>
      <c r="K86" s="223"/>
      <c r="L86" s="223"/>
      <c r="M86" s="223"/>
      <c r="N86" s="223"/>
      <c r="O86" s="223"/>
      <c r="P86" s="249"/>
      <c r="Q86" s="249"/>
      <c r="R86" s="249"/>
      <c r="S86" s="249"/>
      <c r="T86" s="249"/>
      <c r="U86" s="250"/>
    </row>
    <row r="87" spans="1:21" ht="25.5">
      <c r="A87" s="215" t="s">
        <v>310</v>
      </c>
      <c r="B87" s="217"/>
      <c r="C87" s="223"/>
      <c r="D87" s="217"/>
      <c r="E87" s="217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17"/>
      <c r="Q87" s="217"/>
      <c r="R87" s="217"/>
      <c r="S87" s="217"/>
      <c r="T87" s="217"/>
      <c r="U87" s="218"/>
    </row>
    <row r="88" spans="1:21" ht="12.75">
      <c r="A88" s="215" t="s">
        <v>268</v>
      </c>
      <c r="B88" s="217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4"/>
    </row>
    <row r="89" spans="1:21" ht="38.25">
      <c r="A89" s="215" t="s">
        <v>294</v>
      </c>
      <c r="B89" s="217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49"/>
      <c r="P89" s="249"/>
      <c r="Q89" s="223"/>
      <c r="R89" s="223"/>
      <c r="S89" s="223"/>
      <c r="T89" s="223"/>
      <c r="U89" s="224"/>
    </row>
    <row r="90" spans="1:21" ht="12.75">
      <c r="A90" s="215" t="s">
        <v>270</v>
      </c>
      <c r="B90" s="217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4"/>
    </row>
    <row r="91" spans="1:21" ht="12.75">
      <c r="A91" s="215" t="s">
        <v>290</v>
      </c>
      <c r="B91" s="217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4"/>
    </row>
    <row r="92" spans="1:21" ht="13.5" thickBot="1">
      <c r="A92" s="220" t="s">
        <v>269</v>
      </c>
      <c r="B92" s="221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6"/>
    </row>
  </sheetData>
  <sheetProtection/>
  <mergeCells count="62">
    <mergeCell ref="T8:U8"/>
    <mergeCell ref="B24:C24"/>
    <mergeCell ref="D24:E24"/>
    <mergeCell ref="F24:G24"/>
    <mergeCell ref="H24:I24"/>
    <mergeCell ref="J24:K24"/>
    <mergeCell ref="L24:M24"/>
    <mergeCell ref="N24:O24"/>
    <mergeCell ref="P24:Q24"/>
    <mergeCell ref="R8:S8"/>
    <mergeCell ref="J8:K8"/>
    <mergeCell ref="B8:C8"/>
    <mergeCell ref="D8:E8"/>
    <mergeCell ref="F8:G8"/>
    <mergeCell ref="H8:I8"/>
    <mergeCell ref="L8:M8"/>
    <mergeCell ref="N8:O8"/>
    <mergeCell ref="P8:Q8"/>
    <mergeCell ref="P41:Q41"/>
    <mergeCell ref="N41:O41"/>
    <mergeCell ref="L41:M41"/>
    <mergeCell ref="B57:C57"/>
    <mergeCell ref="D57:E57"/>
    <mergeCell ref="F57:G57"/>
    <mergeCell ref="H57:I57"/>
    <mergeCell ref="T41:U41"/>
    <mergeCell ref="R24:S24"/>
    <mergeCell ref="T24:U24"/>
    <mergeCell ref="A38:U39"/>
    <mergeCell ref="B41:C41"/>
    <mergeCell ref="D41:E41"/>
    <mergeCell ref="R41:S41"/>
    <mergeCell ref="F41:G41"/>
    <mergeCell ref="H41:I41"/>
    <mergeCell ref="J41:K41"/>
    <mergeCell ref="T57:U57"/>
    <mergeCell ref="B72:C72"/>
    <mergeCell ref="D72:E72"/>
    <mergeCell ref="F72:G72"/>
    <mergeCell ref="H72:I72"/>
    <mergeCell ref="J72:K72"/>
    <mergeCell ref="L72:M72"/>
    <mergeCell ref="N72:O72"/>
    <mergeCell ref="P72:Q72"/>
    <mergeCell ref="J57:K57"/>
    <mergeCell ref="T84:U84"/>
    <mergeCell ref="A3:U3"/>
    <mergeCell ref="R72:S72"/>
    <mergeCell ref="T72:U72"/>
    <mergeCell ref="B84:C84"/>
    <mergeCell ref="D84:E84"/>
    <mergeCell ref="F84:G84"/>
    <mergeCell ref="H84:I84"/>
    <mergeCell ref="J84:K84"/>
    <mergeCell ref="L84:M84"/>
    <mergeCell ref="N84:O84"/>
    <mergeCell ref="P84:Q84"/>
    <mergeCell ref="R57:S57"/>
    <mergeCell ref="L57:M57"/>
    <mergeCell ref="N57:O57"/>
    <mergeCell ref="P57:Q57"/>
    <mergeCell ref="R84:S84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B1">
      <selection activeCell="H63" sqref="H63"/>
    </sheetView>
  </sheetViews>
  <sheetFormatPr defaultColWidth="11.421875" defaultRowHeight="12.75"/>
  <cols>
    <col min="1" max="1" width="3.57421875" style="0" hidden="1" customWidth="1"/>
    <col min="2" max="2" width="14.7109375" style="0" customWidth="1"/>
    <col min="3" max="3" width="12.57421875" style="0" customWidth="1"/>
    <col min="4" max="4" width="13.28125" style="0" customWidth="1"/>
    <col min="5" max="5" width="16.00390625" style="0" customWidth="1"/>
    <col min="6" max="6" width="23.140625" style="0" customWidth="1"/>
  </cols>
  <sheetData>
    <row r="2" spans="1:3" ht="15" customHeight="1">
      <c r="A2" s="83"/>
      <c r="B2" s="85" t="s">
        <v>26</v>
      </c>
      <c r="C2" s="84" t="s">
        <v>53</v>
      </c>
    </row>
    <row r="3" spans="1:3" ht="16.5" customHeight="1">
      <c r="A3" s="85">
        <v>1000</v>
      </c>
      <c r="B3" s="110" t="s">
        <v>155</v>
      </c>
      <c r="C3" s="86">
        <f>+'POA-07'!C7</f>
        <v>40635000</v>
      </c>
    </row>
    <row r="4" spans="1:3" ht="12.75" hidden="1">
      <c r="A4" s="83">
        <v>1001</v>
      </c>
      <c r="B4" s="111" t="s">
        <v>67</v>
      </c>
      <c r="C4" s="88">
        <f>'POA-02'!J20</f>
        <v>40635000</v>
      </c>
    </row>
    <row r="5" spans="1:3" ht="12.75" hidden="1">
      <c r="A5" s="83">
        <v>1002</v>
      </c>
      <c r="B5" s="111" t="s">
        <v>68</v>
      </c>
      <c r="C5" s="88">
        <f>'POA-02'!J26</f>
        <v>0</v>
      </c>
    </row>
    <row r="6" spans="1:3" ht="14.25" customHeight="1">
      <c r="A6" s="85">
        <v>2000</v>
      </c>
      <c r="B6" s="111" t="s">
        <v>156</v>
      </c>
      <c r="C6" s="87">
        <f>+'POA-07'!C10</f>
        <v>7654042.967499999</v>
      </c>
    </row>
    <row r="7" spans="1:3" ht="12.75" hidden="1">
      <c r="A7" s="83">
        <v>2001</v>
      </c>
      <c r="B7" s="111" t="s">
        <v>70</v>
      </c>
      <c r="C7" s="89">
        <f>'POA-04'!G22</f>
        <v>0</v>
      </c>
    </row>
    <row r="8" spans="1:3" ht="12.75" hidden="1">
      <c r="A8" s="83">
        <v>2002</v>
      </c>
      <c r="B8" s="111" t="s">
        <v>71</v>
      </c>
      <c r="C8" s="89">
        <f>'POA-03'!H22</f>
        <v>2034042.9674999998</v>
      </c>
    </row>
    <row r="9" spans="1:3" ht="12.75" hidden="1">
      <c r="A9" s="83" t="s">
        <v>72</v>
      </c>
      <c r="B9" s="111" t="s">
        <v>73</v>
      </c>
      <c r="C9" s="89"/>
    </row>
    <row r="10" spans="1:3" ht="12.75" hidden="1">
      <c r="A10" s="83" t="s">
        <v>74</v>
      </c>
      <c r="B10" s="111" t="s">
        <v>75</v>
      </c>
      <c r="C10" s="89"/>
    </row>
    <row r="11" spans="1:3" ht="12.75" hidden="1">
      <c r="A11" s="83" t="s">
        <v>76</v>
      </c>
      <c r="B11" s="111" t="s">
        <v>77</v>
      </c>
      <c r="C11" s="89"/>
    </row>
    <row r="12" spans="1:3" ht="21.75" hidden="1">
      <c r="A12" s="83">
        <v>2003</v>
      </c>
      <c r="B12" s="112" t="s">
        <v>78</v>
      </c>
      <c r="C12" s="88">
        <f>'POA-06'!D12</f>
        <v>0</v>
      </c>
    </row>
    <row r="13" spans="1:3" ht="12.75" hidden="1">
      <c r="A13" s="83">
        <v>2004</v>
      </c>
      <c r="B13" s="111" t="s">
        <v>79</v>
      </c>
      <c r="C13" s="88">
        <f>'POA-06'!D13</f>
        <v>0</v>
      </c>
    </row>
    <row r="14" spans="1:3" ht="12.75" hidden="1">
      <c r="A14" s="83" t="s">
        <v>80</v>
      </c>
      <c r="B14" s="111" t="s">
        <v>81</v>
      </c>
      <c r="C14" s="89"/>
    </row>
    <row r="15" spans="1:3" ht="12.75" hidden="1">
      <c r="A15" s="83" t="s">
        <v>82</v>
      </c>
      <c r="B15" s="111" t="s">
        <v>83</v>
      </c>
      <c r="C15" s="89"/>
    </row>
    <row r="16" spans="1:3" ht="12.75" hidden="1">
      <c r="A16" s="83" t="s">
        <v>84</v>
      </c>
      <c r="B16" s="111" t="s">
        <v>85</v>
      </c>
      <c r="C16" s="89"/>
    </row>
    <row r="17" spans="1:3" ht="12.75" hidden="1">
      <c r="A17" s="83">
        <v>2005</v>
      </c>
      <c r="B17" s="111" t="s">
        <v>86</v>
      </c>
      <c r="C17" s="88">
        <v>0</v>
      </c>
    </row>
    <row r="18" spans="1:3" ht="12.75" hidden="1">
      <c r="A18" s="83" t="s">
        <v>87</v>
      </c>
      <c r="B18" s="111" t="s">
        <v>88</v>
      </c>
      <c r="C18" s="89"/>
    </row>
    <row r="19" spans="1:3" ht="12.75" hidden="1">
      <c r="A19" s="83" t="s">
        <v>89</v>
      </c>
      <c r="B19" s="111" t="s">
        <v>90</v>
      </c>
      <c r="C19" s="89"/>
    </row>
    <row r="20" spans="1:3" ht="12.75" hidden="1">
      <c r="A20" s="83">
        <v>2006</v>
      </c>
      <c r="B20" s="111" t="s">
        <v>91</v>
      </c>
      <c r="C20" s="88">
        <f>'POA-06'!D15</f>
        <v>5620000</v>
      </c>
    </row>
    <row r="21" spans="1:3" ht="12.75" hidden="1">
      <c r="A21" s="83" t="s">
        <v>92</v>
      </c>
      <c r="B21" s="111" t="s">
        <v>93</v>
      </c>
      <c r="C21" s="89"/>
    </row>
    <row r="22" spans="1:3" ht="21.75" hidden="1">
      <c r="A22" s="83" t="s">
        <v>94</v>
      </c>
      <c r="B22" s="112" t="s">
        <v>149</v>
      </c>
      <c r="C22" s="89"/>
    </row>
    <row r="23" spans="1:3" ht="12.75" hidden="1">
      <c r="A23" s="83" t="s">
        <v>95</v>
      </c>
      <c r="B23" s="111" t="s">
        <v>96</v>
      </c>
      <c r="C23" s="89"/>
    </row>
    <row r="24" spans="1:3" ht="21.75" hidden="1">
      <c r="A24" s="83">
        <v>2007</v>
      </c>
      <c r="B24" s="112" t="s">
        <v>97</v>
      </c>
      <c r="C24" s="88">
        <f>'POA-06'!D16</f>
        <v>0</v>
      </c>
    </row>
    <row r="25" spans="1:3" ht="21.75" hidden="1">
      <c r="A25" s="83">
        <v>2008</v>
      </c>
      <c r="B25" s="112" t="s">
        <v>98</v>
      </c>
      <c r="C25" s="88">
        <f>'POA-06'!D14</f>
        <v>0</v>
      </c>
    </row>
    <row r="26" spans="1:3" ht="12.75" hidden="1">
      <c r="A26" s="83">
        <v>2009</v>
      </c>
      <c r="B26" s="111" t="s">
        <v>99</v>
      </c>
      <c r="C26" s="88">
        <v>0</v>
      </c>
    </row>
    <row r="27" spans="1:3" ht="21.75" hidden="1">
      <c r="A27" s="83">
        <v>2010</v>
      </c>
      <c r="B27" s="112" t="s">
        <v>100</v>
      </c>
      <c r="C27" s="88">
        <v>0</v>
      </c>
    </row>
    <row r="28" spans="1:3" ht="12.75" hidden="1">
      <c r="A28" s="83">
        <v>2011</v>
      </c>
      <c r="B28" s="111" t="s">
        <v>101</v>
      </c>
      <c r="C28" s="88">
        <f>'POA-06'!D20</f>
        <v>0</v>
      </c>
    </row>
    <row r="29" spans="1:3" ht="21.75" hidden="1">
      <c r="A29" s="83">
        <v>2012</v>
      </c>
      <c r="B29" s="112" t="s">
        <v>102</v>
      </c>
      <c r="C29" s="88">
        <f>'POA-06'!D21</f>
        <v>0</v>
      </c>
    </row>
    <row r="30" spans="1:3" ht="12.75" hidden="1">
      <c r="A30" s="83">
        <v>2013</v>
      </c>
      <c r="B30" s="111" t="s">
        <v>103</v>
      </c>
      <c r="C30" s="88">
        <f>'POA-06'!D19</f>
        <v>0</v>
      </c>
    </row>
    <row r="31" spans="1:3" ht="12.75" hidden="1">
      <c r="A31" s="83">
        <v>2014</v>
      </c>
      <c r="B31" s="111" t="s">
        <v>104</v>
      </c>
      <c r="C31" s="88">
        <v>0</v>
      </c>
    </row>
    <row r="32" spans="1:3" ht="12.75" hidden="1">
      <c r="A32" s="83">
        <v>2015</v>
      </c>
      <c r="B32" s="111" t="s">
        <v>105</v>
      </c>
      <c r="C32" s="88">
        <f>'POA-06'!D24</f>
        <v>0</v>
      </c>
    </row>
    <row r="33" spans="1:3" ht="12.75" hidden="1">
      <c r="A33" s="83" t="s">
        <v>106</v>
      </c>
      <c r="B33" s="111" t="s">
        <v>107</v>
      </c>
      <c r="C33" s="89"/>
    </row>
    <row r="34" spans="1:3" ht="12.75" hidden="1">
      <c r="A34" s="83" t="s">
        <v>108</v>
      </c>
      <c r="B34" s="111" t="s">
        <v>109</v>
      </c>
      <c r="C34" s="89"/>
    </row>
    <row r="35" spans="1:3" ht="12.75" hidden="1">
      <c r="A35" s="83">
        <v>2016</v>
      </c>
      <c r="B35" s="111" t="s">
        <v>110</v>
      </c>
      <c r="C35" s="89">
        <f>'POA-06'!D25</f>
        <v>0</v>
      </c>
    </row>
    <row r="36" spans="1:3" ht="12.75" hidden="1">
      <c r="A36" s="83">
        <v>2017</v>
      </c>
      <c r="B36" s="111" t="s">
        <v>111</v>
      </c>
      <c r="C36" s="89">
        <v>0</v>
      </c>
    </row>
    <row r="37" spans="1:3" ht="12.75" hidden="1">
      <c r="A37" s="85">
        <v>3000</v>
      </c>
      <c r="B37" s="111" t="s">
        <v>112</v>
      </c>
      <c r="C37" s="87">
        <v>0</v>
      </c>
    </row>
    <row r="38" spans="1:3" ht="16.5" customHeight="1">
      <c r="A38" s="85">
        <v>5000</v>
      </c>
      <c r="B38" s="111" t="s">
        <v>250</v>
      </c>
      <c r="C38" s="86">
        <f>+'POA-05'!C26</f>
        <v>435000000</v>
      </c>
    </row>
    <row r="39" spans="1:3" ht="15" customHeight="1">
      <c r="A39" s="85"/>
      <c r="B39" s="85" t="s">
        <v>29</v>
      </c>
      <c r="C39" s="86">
        <f>+C3+C6+C38</f>
        <v>483289042.9675</v>
      </c>
    </row>
    <row r="40" spans="1:3" ht="12.75" hidden="1">
      <c r="A40" s="85">
        <v>7000</v>
      </c>
      <c r="B40" s="83" t="s">
        <v>116</v>
      </c>
      <c r="C40" s="86">
        <v>0</v>
      </c>
    </row>
    <row r="41" spans="1:3" ht="12.75" hidden="1">
      <c r="A41" s="85"/>
      <c r="B41" s="85" t="s">
        <v>29</v>
      </c>
      <c r="C41" s="86" t="e">
        <f>+C3+C6+C37+#REF!+C38+C39+C40</f>
        <v>#REF!</v>
      </c>
    </row>
    <row r="67" ht="23.25" customHeight="1"/>
  </sheetData>
  <sheetProtection/>
  <printOptions horizontalCentered="1" verticalCentered="1"/>
  <pageMargins left="0.5118110236220472" right="0.5511811023622047" top="1.6141732283464567" bottom="1.5748031496062993" header="0" footer="0.3937007874015748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1" sqref="A11:J11"/>
    </sheetView>
  </sheetViews>
  <sheetFormatPr defaultColWidth="11.421875" defaultRowHeight="12.75"/>
  <cols>
    <col min="1" max="1" width="5.28125" style="38" customWidth="1"/>
    <col min="2" max="2" width="28.421875" style="38" customWidth="1"/>
    <col min="3" max="3" width="23.140625" style="38" bestFit="1" customWidth="1"/>
    <col min="4" max="4" width="16.140625" style="38" customWidth="1"/>
    <col min="5" max="5" width="12.57421875" style="38" customWidth="1"/>
    <col min="6" max="7" width="8.8515625" style="38" customWidth="1"/>
    <col min="8" max="8" width="11.421875" style="38" customWidth="1"/>
    <col min="9" max="9" width="12.421875" style="38" customWidth="1"/>
    <col min="10" max="10" width="15.8515625" style="38" customWidth="1"/>
    <col min="11" max="11" width="14.7109375" style="38" customWidth="1"/>
    <col min="12" max="12" width="21.140625" style="38" customWidth="1"/>
    <col min="13" max="16384" width="11.421875" style="38" customWidth="1"/>
  </cols>
  <sheetData>
    <row r="1" spans="1:10" s="35" customFormat="1" ht="18">
      <c r="A1" s="262" t="str">
        <f>+'POA-01'!A1:J1</f>
        <v>PLAN OPERATIVO ANUAL -2009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5.25" customHeigh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0" s="42" customFormat="1" ht="14.25" customHeight="1">
      <c r="A3" s="39" t="s">
        <v>7</v>
      </c>
      <c r="B3" s="39"/>
      <c r="C3" s="255" t="s">
        <v>317</v>
      </c>
      <c r="D3" s="255"/>
      <c r="E3" s="255"/>
      <c r="F3" s="255"/>
      <c r="G3" s="255"/>
      <c r="H3" s="255"/>
      <c r="I3" s="40" t="str">
        <f>'POA-01'!I3</f>
        <v>CODIGO</v>
      </c>
      <c r="J3" s="41">
        <f>+'POA-01'!J3</f>
        <v>1139001</v>
      </c>
    </row>
    <row r="4" spans="1:10" s="42" customFormat="1" ht="11.25" customHeight="1">
      <c r="A4" s="39"/>
      <c r="B4" s="39"/>
      <c r="C4" s="40"/>
      <c r="D4" s="40"/>
      <c r="E4" s="40"/>
      <c r="F4" s="40"/>
      <c r="G4" s="40"/>
      <c r="H4" s="40"/>
      <c r="I4" s="40"/>
      <c r="J4" s="40"/>
    </row>
    <row r="5" spans="1:10" s="42" customFormat="1" ht="14.25">
      <c r="A5" s="43" t="s">
        <v>8</v>
      </c>
      <c r="B5" s="43"/>
      <c r="C5" s="55">
        <f>+'POA-01'!D5</f>
        <v>567908000</v>
      </c>
      <c r="D5" s="44"/>
      <c r="E5" s="44"/>
      <c r="F5" s="44"/>
      <c r="G5" s="44"/>
      <c r="H5" s="44"/>
      <c r="I5" s="44"/>
      <c r="J5" s="43"/>
    </row>
    <row r="6" spans="1:10" s="42" customFormat="1" ht="14.25">
      <c r="A6" s="43"/>
      <c r="B6" s="43"/>
      <c r="C6" s="55"/>
      <c r="D6" s="44"/>
      <c r="E6" s="44"/>
      <c r="F6" s="44"/>
      <c r="G6" s="44"/>
      <c r="H6" s="44"/>
      <c r="I6" s="44"/>
      <c r="J6" s="43"/>
    </row>
    <row r="7" spans="1:10" ht="12.7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s="45" customFormat="1" ht="12" thickBot="1">
      <c r="A8" s="45" t="s">
        <v>18</v>
      </c>
      <c r="J8" s="46" t="s">
        <v>19</v>
      </c>
    </row>
    <row r="9" spans="1:10" s="47" customFormat="1" ht="12" customHeight="1">
      <c r="A9" s="256" t="s">
        <v>49</v>
      </c>
      <c r="B9" s="254" t="s">
        <v>12</v>
      </c>
      <c r="C9" s="254" t="s">
        <v>13</v>
      </c>
      <c r="D9" s="254" t="s">
        <v>14</v>
      </c>
      <c r="E9" s="254" t="s">
        <v>0</v>
      </c>
      <c r="F9" s="254"/>
      <c r="G9" s="254"/>
      <c r="H9" s="254"/>
      <c r="I9" s="283" t="s">
        <v>23</v>
      </c>
      <c r="J9" s="264" t="s">
        <v>16</v>
      </c>
    </row>
    <row r="10" spans="1:10" s="47" customFormat="1" ht="22.5" customHeight="1" thickBot="1">
      <c r="A10" s="257"/>
      <c r="B10" s="258"/>
      <c r="C10" s="258"/>
      <c r="D10" s="258"/>
      <c r="E10" s="91" t="s">
        <v>2</v>
      </c>
      <c r="F10" s="91" t="s">
        <v>4</v>
      </c>
      <c r="G10" s="91" t="s">
        <v>5</v>
      </c>
      <c r="H10" s="91" t="s">
        <v>22</v>
      </c>
      <c r="I10" s="261"/>
      <c r="J10" s="265"/>
    </row>
    <row r="11" spans="1:10" s="48" customFormat="1" ht="11.25">
      <c r="A11" s="263" t="s">
        <v>20</v>
      </c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0" s="48" customFormat="1" ht="56.25">
      <c r="A12" s="141">
        <v>1</v>
      </c>
      <c r="B12" s="147" t="s">
        <v>311</v>
      </c>
      <c r="C12" s="134" t="s">
        <v>266</v>
      </c>
      <c r="D12" s="213" t="s">
        <v>267</v>
      </c>
      <c r="E12" s="143">
        <v>39600</v>
      </c>
      <c r="F12" s="143">
        <v>39813</v>
      </c>
      <c r="G12" s="144">
        <v>9</v>
      </c>
      <c r="H12" s="145">
        <v>1</v>
      </c>
      <c r="I12" s="212">
        <f>4200000*1.075</f>
        <v>4515000</v>
      </c>
      <c r="J12" s="212">
        <f>+I12*G12</f>
        <v>40635000</v>
      </c>
    </row>
    <row r="13" spans="1:11" s="48" customFormat="1" ht="11.25">
      <c r="A13" s="141">
        <v>2</v>
      </c>
      <c r="B13" s="147"/>
      <c r="C13" s="134"/>
      <c r="D13" s="142"/>
      <c r="E13" s="143"/>
      <c r="F13" s="143"/>
      <c r="G13" s="144"/>
      <c r="H13" s="145"/>
      <c r="I13" s="146"/>
      <c r="J13" s="146"/>
      <c r="K13" s="182">
        <f>+J13+J12</f>
        <v>40635000</v>
      </c>
    </row>
    <row r="14" spans="1:11" s="48" customFormat="1" ht="11.25">
      <c r="A14" s="54"/>
      <c r="B14" s="148"/>
      <c r="C14" s="137"/>
      <c r="D14" s="137"/>
      <c r="E14" s="138"/>
      <c r="F14" s="138"/>
      <c r="G14" s="135"/>
      <c r="H14" s="139"/>
      <c r="I14" s="140"/>
      <c r="J14" s="149"/>
      <c r="K14" s="182">
        <f>+J14+K13</f>
        <v>40635000</v>
      </c>
    </row>
    <row r="15" spans="1:10" s="48" customFormat="1" ht="11.25">
      <c r="A15" s="54"/>
      <c r="B15" s="54"/>
      <c r="C15" s="54"/>
      <c r="D15" s="54"/>
      <c r="E15" s="54"/>
      <c r="F15" s="56"/>
      <c r="G15" s="57"/>
      <c r="H15" s="49"/>
      <c r="I15" s="58"/>
      <c r="J15" s="58">
        <f>+G15*I15</f>
        <v>0</v>
      </c>
    </row>
    <row r="16" spans="1:10" s="48" customFormat="1" ht="11.25">
      <c r="A16" s="54"/>
      <c r="B16" s="54"/>
      <c r="C16" s="54"/>
      <c r="D16" s="54"/>
      <c r="E16" s="54"/>
      <c r="F16" s="56"/>
      <c r="G16" s="57"/>
      <c r="H16" s="49"/>
      <c r="I16" s="58"/>
      <c r="J16" s="58">
        <f>+G16*I16</f>
        <v>0</v>
      </c>
    </row>
    <row r="17" spans="1:10" s="48" customFormat="1" ht="11.25">
      <c r="A17" s="49"/>
      <c r="B17" s="50"/>
      <c r="C17" s="50"/>
      <c r="D17" s="50"/>
      <c r="E17" s="50"/>
      <c r="F17" s="56"/>
      <c r="G17" s="57"/>
      <c r="H17" s="49"/>
      <c r="I17" s="58"/>
      <c r="J17" s="58">
        <f>+G17*I17</f>
        <v>0</v>
      </c>
    </row>
    <row r="18" spans="1:10" s="48" customFormat="1" ht="11.25">
      <c r="A18" s="49"/>
      <c r="B18" s="50"/>
      <c r="C18" s="50"/>
      <c r="D18" s="50"/>
      <c r="E18" s="50"/>
      <c r="F18" s="56"/>
      <c r="G18" s="57"/>
      <c r="H18" s="49"/>
      <c r="I18" s="58"/>
      <c r="J18" s="58">
        <f>+G18*I18</f>
        <v>0</v>
      </c>
    </row>
    <row r="19" spans="1:10" s="48" customFormat="1" ht="11.25">
      <c r="A19" s="49"/>
      <c r="B19" s="50"/>
      <c r="C19" s="50"/>
      <c r="D19" s="50"/>
      <c r="E19" s="50"/>
      <c r="F19" s="56"/>
      <c r="G19" s="57"/>
      <c r="H19" s="49"/>
      <c r="I19" s="58"/>
      <c r="J19" s="58">
        <f>+G19*I19</f>
        <v>0</v>
      </c>
    </row>
    <row r="20" spans="1:10" s="48" customFormat="1" ht="11.25">
      <c r="A20" s="263" t="s">
        <v>21</v>
      </c>
      <c r="B20" s="263"/>
      <c r="C20" s="263"/>
      <c r="D20" s="263"/>
      <c r="E20" s="51"/>
      <c r="F20" s="51"/>
      <c r="G20" s="51"/>
      <c r="H20" s="52"/>
      <c r="I20" s="53" t="s">
        <v>118</v>
      </c>
      <c r="J20" s="59">
        <f>SUM(J12:J19)</f>
        <v>40635000</v>
      </c>
    </row>
    <row r="21" spans="1:10" s="48" customFormat="1" ht="11.25">
      <c r="A21" s="49">
        <v>1</v>
      </c>
      <c r="B21" s="50"/>
      <c r="C21" s="50"/>
      <c r="D21" s="54"/>
      <c r="E21" s="51"/>
      <c r="F21" s="51"/>
      <c r="G21" s="52"/>
      <c r="H21" s="49"/>
      <c r="I21" s="53"/>
      <c r="J21" s="62"/>
    </row>
    <row r="22" spans="1:10" s="48" customFormat="1" ht="11.25" customHeight="1">
      <c r="A22" s="49"/>
      <c r="B22" s="50"/>
      <c r="C22" s="50"/>
      <c r="D22" s="54"/>
      <c r="E22" s="51"/>
      <c r="F22" s="51"/>
      <c r="G22" s="52"/>
      <c r="H22" s="49"/>
      <c r="I22" s="53"/>
      <c r="J22" s="62"/>
    </row>
    <row r="23" spans="1:10" s="48" customFormat="1" ht="11.25" customHeight="1">
      <c r="A23" s="49"/>
      <c r="B23" s="50"/>
      <c r="C23" s="50"/>
      <c r="D23" s="54"/>
      <c r="E23" s="51"/>
      <c r="F23" s="51"/>
      <c r="G23" s="52"/>
      <c r="H23" s="49"/>
      <c r="I23" s="53"/>
      <c r="J23" s="62"/>
    </row>
    <row r="24" spans="1:10" s="48" customFormat="1" ht="11.25" customHeight="1">
      <c r="A24" s="49"/>
      <c r="B24" s="50"/>
      <c r="C24" s="50"/>
      <c r="D24" s="54"/>
      <c r="E24" s="51"/>
      <c r="F24" s="51"/>
      <c r="G24" s="52"/>
      <c r="H24" s="49"/>
      <c r="I24" s="53"/>
      <c r="J24" s="62"/>
    </row>
    <row r="25" spans="1:10" s="48" customFormat="1" ht="11.25" customHeight="1">
      <c r="A25" s="49"/>
      <c r="B25" s="50"/>
      <c r="C25" s="50"/>
      <c r="D25" s="54"/>
      <c r="E25" s="60"/>
      <c r="F25" s="60"/>
      <c r="G25" s="61"/>
      <c r="H25" s="49"/>
      <c r="I25" s="50"/>
      <c r="J25" s="62"/>
    </row>
    <row r="26" spans="1:10" s="48" customFormat="1" ht="11.25">
      <c r="A26" s="65"/>
      <c r="B26" s="61"/>
      <c r="C26" s="61"/>
      <c r="D26" s="64"/>
      <c r="E26" s="61"/>
      <c r="F26" s="61"/>
      <c r="G26" s="61"/>
      <c r="H26" s="65"/>
      <c r="I26" s="53" t="s">
        <v>118</v>
      </c>
      <c r="J26" s="63">
        <f>SUM(J21:J25)</f>
        <v>0</v>
      </c>
    </row>
    <row r="27" spans="2:8" ht="12.75">
      <c r="B27" s="66"/>
      <c r="C27" s="66"/>
      <c r="D27" s="66"/>
      <c r="E27" s="66"/>
      <c r="F27" s="66"/>
      <c r="G27" s="66"/>
      <c r="H27" s="66"/>
    </row>
    <row r="28" spans="9:10" ht="12.75">
      <c r="I28" s="67" t="s">
        <v>29</v>
      </c>
      <c r="J28" s="68">
        <f>+J20+J26</f>
        <v>40635000</v>
      </c>
    </row>
    <row r="33" ht="12.75">
      <c r="J33" s="130"/>
    </row>
    <row r="34" ht="12.75">
      <c r="J34" s="130"/>
    </row>
  </sheetData>
  <sheetProtection/>
  <mergeCells count="11">
    <mergeCell ref="A20:D20"/>
    <mergeCell ref="A9:A10"/>
    <mergeCell ref="B9:B10"/>
    <mergeCell ref="C9:C10"/>
    <mergeCell ref="D9:D10"/>
    <mergeCell ref="I9:I10"/>
    <mergeCell ref="A1:J1"/>
    <mergeCell ref="A11:J11"/>
    <mergeCell ref="J9:J10"/>
    <mergeCell ref="E9:H9"/>
    <mergeCell ref="C3:H3"/>
  </mergeCells>
  <printOptions horizontalCentered="1" verticalCentered="1"/>
  <pageMargins left="0.35433070866141736" right="0.3937007874015748" top="1.5748031496062993" bottom="1.1811023622047245" header="0" footer="0.3937007874015748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1" width="6.00390625" style="194" customWidth="1"/>
    <col min="2" max="2" width="45.140625" style="6" customWidth="1"/>
    <col min="3" max="3" width="22.57421875" style="6" hidden="1" customWidth="1"/>
    <col min="4" max="4" width="10.57421875" style="6" hidden="1" customWidth="1"/>
    <col min="5" max="6" width="12.7109375" style="6" hidden="1" customWidth="1"/>
    <col min="7" max="8" width="12.7109375" style="6" customWidth="1"/>
    <col min="9" max="9" width="16.28125" style="6" customWidth="1"/>
    <col min="10" max="16384" width="11.421875" style="6" customWidth="1"/>
  </cols>
  <sheetData>
    <row r="1" spans="1:10" s="26" customFormat="1" ht="18">
      <c r="A1" s="259" t="str">
        <f>+'POA-01'!A1:J1</f>
        <v>PLAN OPERATIVO ANUAL -2009</v>
      </c>
      <c r="B1" s="259"/>
      <c r="C1" s="259"/>
      <c r="D1" s="259"/>
      <c r="E1" s="259"/>
      <c r="F1" s="259"/>
      <c r="G1" s="259"/>
      <c r="H1" s="259"/>
      <c r="I1" s="259"/>
      <c r="J1" s="25"/>
    </row>
    <row r="2" spans="1:10" ht="5.25" customHeight="1">
      <c r="A2" s="7"/>
      <c r="B2" s="7"/>
      <c r="C2" s="7"/>
      <c r="D2" s="7"/>
      <c r="E2" s="7"/>
      <c r="F2" s="7"/>
      <c r="G2" s="7"/>
      <c r="H2" s="7"/>
      <c r="I2" s="7"/>
      <c r="J2" s="10"/>
    </row>
    <row r="3" spans="1:10" s="15" customFormat="1" ht="14.25">
      <c r="A3" s="14" t="s">
        <v>7</v>
      </c>
      <c r="B3" s="14"/>
      <c r="C3" s="316" t="e">
        <f>'POA-01'!D3:H3</f>
        <v>#VALUE!</v>
      </c>
      <c r="D3" s="316"/>
      <c r="E3" s="316"/>
      <c r="F3" s="316"/>
      <c r="G3" s="316"/>
      <c r="H3" s="27" t="str">
        <f>'POA-01'!I3</f>
        <v>CODIGO</v>
      </c>
      <c r="I3" s="31">
        <f>'POA-01'!J3</f>
        <v>1139001</v>
      </c>
      <c r="J3" s="16"/>
    </row>
    <row r="4" spans="1:10" s="15" customFormat="1" ht="15" customHeight="1">
      <c r="A4" s="191"/>
      <c r="B4" s="14"/>
      <c r="C4" s="20"/>
      <c r="D4" s="20"/>
      <c r="E4" s="20"/>
      <c r="F4" s="20"/>
      <c r="G4" s="20"/>
      <c r="H4" s="27"/>
      <c r="I4" s="27"/>
      <c r="J4" s="16"/>
    </row>
    <row r="5" spans="1:10" s="15" customFormat="1" ht="14.25">
      <c r="A5" s="16" t="s">
        <v>8</v>
      </c>
      <c r="B5" s="16"/>
      <c r="C5" s="33">
        <f>+'POA-01'!D5</f>
        <v>567908000</v>
      </c>
      <c r="D5" s="20"/>
      <c r="E5" s="20"/>
      <c r="F5" s="20"/>
      <c r="G5" s="20"/>
      <c r="H5" s="20"/>
      <c r="I5" s="251">
        <f>+'POA-01'!D5</f>
        <v>567908000</v>
      </c>
      <c r="J5" s="16"/>
    </row>
    <row r="6" s="15" customFormat="1" ht="14.25">
      <c r="A6" s="192"/>
    </row>
    <row r="8" spans="1:9" s="17" customFormat="1" ht="12" thickBot="1">
      <c r="A8" s="195" t="s">
        <v>31</v>
      </c>
      <c r="I8" s="18" t="s">
        <v>32</v>
      </c>
    </row>
    <row r="9" spans="1:9" s="19" customFormat="1" ht="14.25" customHeight="1">
      <c r="A9" s="314" t="s">
        <v>49</v>
      </c>
      <c r="B9" s="260" t="s">
        <v>26</v>
      </c>
      <c r="C9" s="260" t="s">
        <v>27</v>
      </c>
      <c r="D9" s="322" t="s">
        <v>28</v>
      </c>
      <c r="E9" s="317" t="s">
        <v>24</v>
      </c>
      <c r="F9" s="317"/>
      <c r="G9" s="260" t="s">
        <v>25</v>
      </c>
      <c r="H9" s="260"/>
      <c r="I9" s="320" t="s">
        <v>36</v>
      </c>
    </row>
    <row r="10" spans="1:10" s="19" customFormat="1" ht="12" thickBot="1">
      <c r="A10" s="315"/>
      <c r="B10" s="313"/>
      <c r="C10" s="313"/>
      <c r="D10" s="323"/>
      <c r="E10" s="92" t="s">
        <v>15</v>
      </c>
      <c r="F10" s="92" t="s">
        <v>29</v>
      </c>
      <c r="G10" s="92" t="s">
        <v>30</v>
      </c>
      <c r="H10" s="92" t="s">
        <v>29</v>
      </c>
      <c r="I10" s="321"/>
      <c r="J10" s="211" t="s">
        <v>265</v>
      </c>
    </row>
    <row r="11" spans="1:11" s="13" customFormat="1" ht="12">
      <c r="A11" s="193">
        <v>1</v>
      </c>
      <c r="B11" s="150" t="s">
        <v>236</v>
      </c>
      <c r="C11" s="193" t="s">
        <v>174</v>
      </c>
      <c r="D11" s="193" t="s">
        <v>176</v>
      </c>
      <c r="E11" s="193"/>
      <c r="F11" s="193">
        <v>20</v>
      </c>
      <c r="G11" s="199">
        <v>11629.8</v>
      </c>
      <c r="H11" s="199">
        <f aca="true" t="shared" si="0" ref="H11:H21">+F11*G11</f>
        <v>232596</v>
      </c>
      <c r="I11" s="193" t="s">
        <v>175</v>
      </c>
      <c r="J11" s="210" t="s">
        <v>257</v>
      </c>
      <c r="K11" s="75"/>
    </row>
    <row r="12" spans="1:11" s="13" customFormat="1" ht="12">
      <c r="A12" s="193">
        <v>2</v>
      </c>
      <c r="B12" s="150" t="s">
        <v>237</v>
      </c>
      <c r="C12" s="193" t="s">
        <v>174</v>
      </c>
      <c r="D12" s="193" t="s">
        <v>176</v>
      </c>
      <c r="E12" s="193"/>
      <c r="F12" s="193">
        <v>10</v>
      </c>
      <c r="G12" s="199">
        <v>13559.633249999999</v>
      </c>
      <c r="H12" s="199">
        <f t="shared" si="0"/>
        <v>135596.3325</v>
      </c>
      <c r="I12" s="193" t="s">
        <v>175</v>
      </c>
      <c r="J12" s="210" t="s">
        <v>258</v>
      </c>
      <c r="K12" s="75"/>
    </row>
    <row r="13" spans="1:11" s="13" customFormat="1" ht="12">
      <c r="A13" s="193">
        <v>3</v>
      </c>
      <c r="B13" s="150" t="s">
        <v>177</v>
      </c>
      <c r="C13" s="193" t="s">
        <v>174</v>
      </c>
      <c r="D13" s="193" t="s">
        <v>154</v>
      </c>
      <c r="E13" s="193"/>
      <c r="F13" s="193">
        <v>1</v>
      </c>
      <c r="G13" s="199">
        <v>8263.335</v>
      </c>
      <c r="H13" s="199">
        <f t="shared" si="0"/>
        <v>8263.335</v>
      </c>
      <c r="I13" s="193" t="s">
        <v>175</v>
      </c>
      <c r="J13" s="210" t="s">
        <v>259</v>
      </c>
      <c r="K13" s="75"/>
    </row>
    <row r="14" spans="1:11" s="13" customFormat="1" ht="12">
      <c r="A14" s="193">
        <v>4</v>
      </c>
      <c r="B14" s="150" t="s">
        <v>178</v>
      </c>
      <c r="C14" s="193" t="s">
        <v>174</v>
      </c>
      <c r="D14" s="193" t="s">
        <v>153</v>
      </c>
      <c r="E14" s="193"/>
      <c r="F14" s="193">
        <v>10</v>
      </c>
      <c r="G14" s="199">
        <v>1384.5</v>
      </c>
      <c r="H14" s="199">
        <f t="shared" si="0"/>
        <v>13845</v>
      </c>
      <c r="I14" s="193" t="s">
        <v>175</v>
      </c>
      <c r="J14" s="210" t="s">
        <v>260</v>
      </c>
      <c r="K14" s="75"/>
    </row>
    <row r="15" spans="1:11" s="13" customFormat="1" ht="12">
      <c r="A15" s="193">
        <v>5</v>
      </c>
      <c r="B15" s="150" t="s">
        <v>179</v>
      </c>
      <c r="C15" s="193" t="s">
        <v>174</v>
      </c>
      <c r="D15" s="193" t="s">
        <v>159</v>
      </c>
      <c r="E15" s="193"/>
      <c r="F15" s="193">
        <v>21</v>
      </c>
      <c r="G15" s="199">
        <v>1384.5</v>
      </c>
      <c r="H15" s="199">
        <f t="shared" si="0"/>
        <v>29074.5</v>
      </c>
      <c r="I15" s="193" t="s">
        <v>175</v>
      </c>
      <c r="J15" s="210" t="s">
        <v>260</v>
      </c>
      <c r="K15" s="75"/>
    </row>
    <row r="16" spans="1:11" s="13" customFormat="1" ht="12">
      <c r="A16" s="193">
        <v>6</v>
      </c>
      <c r="B16" s="150" t="s">
        <v>180</v>
      </c>
      <c r="C16" s="193" t="s">
        <v>174</v>
      </c>
      <c r="D16" s="193" t="s">
        <v>154</v>
      </c>
      <c r="E16" s="193"/>
      <c r="F16" s="193">
        <v>5</v>
      </c>
      <c r="G16" s="199">
        <v>34080</v>
      </c>
      <c r="H16" s="199">
        <f t="shared" si="0"/>
        <v>170400</v>
      </c>
      <c r="I16" s="193" t="s">
        <v>175</v>
      </c>
      <c r="J16" s="210" t="s">
        <v>261</v>
      </c>
      <c r="K16" s="75"/>
    </row>
    <row r="17" spans="1:11" s="13" customFormat="1" ht="12">
      <c r="A17" s="193">
        <v>7</v>
      </c>
      <c r="B17" s="150" t="s">
        <v>181</v>
      </c>
      <c r="C17" s="193" t="s">
        <v>174</v>
      </c>
      <c r="D17" s="193" t="s">
        <v>154</v>
      </c>
      <c r="E17" s="193"/>
      <c r="F17" s="193">
        <v>2</v>
      </c>
      <c r="G17" s="199">
        <v>47925</v>
      </c>
      <c r="H17" s="199">
        <f t="shared" si="0"/>
        <v>95850</v>
      </c>
      <c r="I17" s="193" t="s">
        <v>175</v>
      </c>
      <c r="J17" s="210" t="s">
        <v>261</v>
      </c>
      <c r="K17" s="75"/>
    </row>
    <row r="18" spans="1:11" s="13" customFormat="1" ht="12">
      <c r="A18" s="193">
        <v>8</v>
      </c>
      <c r="B18" s="150" t="s">
        <v>239</v>
      </c>
      <c r="C18" s="193" t="s">
        <v>174</v>
      </c>
      <c r="D18" s="193" t="s">
        <v>154</v>
      </c>
      <c r="E18" s="193"/>
      <c r="F18" s="193">
        <v>2</v>
      </c>
      <c r="G18" s="199">
        <v>42600</v>
      </c>
      <c r="H18" s="199">
        <f t="shared" si="0"/>
        <v>85200</v>
      </c>
      <c r="I18" s="193" t="s">
        <v>175</v>
      </c>
      <c r="J18" s="210" t="s">
        <v>262</v>
      </c>
      <c r="K18" s="75"/>
    </row>
    <row r="19" spans="1:11" ht="12.75">
      <c r="A19" s="193">
        <v>9</v>
      </c>
      <c r="B19" s="150" t="s">
        <v>182</v>
      </c>
      <c r="C19" s="193" t="s">
        <v>174</v>
      </c>
      <c r="D19" s="193" t="s">
        <v>153</v>
      </c>
      <c r="E19" s="193"/>
      <c r="F19" s="193">
        <v>4</v>
      </c>
      <c r="G19" s="199">
        <v>6922.5</v>
      </c>
      <c r="H19" s="199">
        <f t="shared" si="0"/>
        <v>27690</v>
      </c>
      <c r="I19" s="193" t="s">
        <v>175</v>
      </c>
      <c r="J19" s="210" t="s">
        <v>264</v>
      </c>
      <c r="K19" s="75"/>
    </row>
    <row r="20" spans="1:11" ht="12.75">
      <c r="A20" s="193">
        <v>10</v>
      </c>
      <c r="B20" s="150" t="s">
        <v>238</v>
      </c>
      <c r="C20" s="135" t="s">
        <v>174</v>
      </c>
      <c r="D20" s="193" t="s">
        <v>183</v>
      </c>
      <c r="E20" s="193">
        <v>1</v>
      </c>
      <c r="F20" s="193">
        <v>12</v>
      </c>
      <c r="G20" s="199">
        <v>98523.15</v>
      </c>
      <c r="H20" s="199">
        <f t="shared" si="0"/>
        <v>1182277.7999999998</v>
      </c>
      <c r="I20" s="193" t="s">
        <v>175</v>
      </c>
      <c r="J20" s="210" t="s">
        <v>256</v>
      </c>
      <c r="K20" s="75"/>
    </row>
    <row r="21" spans="1:11" ht="12.75">
      <c r="A21" s="193">
        <v>11</v>
      </c>
      <c r="B21" s="150" t="s">
        <v>240</v>
      </c>
      <c r="C21" s="193" t="s">
        <v>174</v>
      </c>
      <c r="D21" s="193" t="s">
        <v>28</v>
      </c>
      <c r="E21" s="150"/>
      <c r="F21" s="193">
        <v>50</v>
      </c>
      <c r="G21" s="199">
        <v>1065</v>
      </c>
      <c r="H21" s="199">
        <f t="shared" si="0"/>
        <v>53250</v>
      </c>
      <c r="I21" s="193" t="s">
        <v>175</v>
      </c>
      <c r="J21" s="210" t="s">
        <v>263</v>
      </c>
      <c r="K21" s="75"/>
    </row>
    <row r="22" spans="1:10" ht="12.75">
      <c r="A22" s="318" t="s">
        <v>17</v>
      </c>
      <c r="B22" s="319"/>
      <c r="C22" s="12"/>
      <c r="D22" s="8"/>
      <c r="E22" s="72"/>
      <c r="F22" s="193"/>
      <c r="G22" s="72"/>
      <c r="H22" s="72">
        <f>SUM(H11:H21)</f>
        <v>2034042.9674999998</v>
      </c>
      <c r="I22" s="72"/>
      <c r="J22" s="210"/>
    </row>
  </sheetData>
  <sheetProtection/>
  <mergeCells count="10">
    <mergeCell ref="A22:B22"/>
    <mergeCell ref="G9:H9"/>
    <mergeCell ref="I9:I10"/>
    <mergeCell ref="D9:D10"/>
    <mergeCell ref="A1:I1"/>
    <mergeCell ref="B9:B10"/>
    <mergeCell ref="A9:A10"/>
    <mergeCell ref="C9:C10"/>
    <mergeCell ref="C3:G3"/>
    <mergeCell ref="E9:F9"/>
  </mergeCells>
  <hyperlinks>
    <hyperlink ref="J20" r:id="rId1" display="https://sice.sice-cgr.gov.co/jsp/sice_servicio.jsp?seleccionCUBS=1.52.1.75&amp;nombreCUBS=TONER&amp;tipoSE=B&amp;servicio=cubs.ConsultarCubs"/>
    <hyperlink ref="J13" r:id="rId2" display="https://sice.sice-cgr.gov.co/jsp/sice_servicio.jsp?seleccionCUBS=1.52.1.38&amp;nombreCUBS=LAPIZ&amp;tipoSE=B&amp;servicio=cubs.ConsultarCubs"/>
  </hyperlinks>
  <printOptions horizontalCentered="1" verticalCentered="1"/>
  <pageMargins left="0.3937007874015748" right="0.3937007874015748" top="1.5748031496062993" bottom="1.1811023622047245" header="0" footer="0.3937007874015748"/>
  <pageSetup horizontalDpi="600" verticalDpi="600" orientation="landscape" paperSize="5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C9" sqref="C9"/>
    </sheetView>
  </sheetViews>
  <sheetFormatPr defaultColWidth="11.421875" defaultRowHeight="12.75"/>
  <cols>
    <col min="1" max="1" width="5.140625" style="6" customWidth="1"/>
    <col min="2" max="2" width="28.00390625" style="6" customWidth="1"/>
    <col min="3" max="3" width="22.421875" style="6" customWidth="1"/>
    <col min="4" max="5" width="9.8515625" style="6" customWidth="1"/>
    <col min="6" max="6" width="11.421875" style="6" customWidth="1"/>
    <col min="7" max="7" width="14.57421875" style="6" customWidth="1"/>
    <col min="8" max="8" width="15.7109375" style="6" customWidth="1"/>
    <col min="9" max="16384" width="11.421875" style="6" customWidth="1"/>
  </cols>
  <sheetData>
    <row r="1" spans="1:10" s="26" customFormat="1" ht="18">
      <c r="A1" s="259" t="str">
        <f>+'POA-01'!A1:J1</f>
        <v>PLAN OPERATIVO ANUAL -2009</v>
      </c>
      <c r="B1" s="259"/>
      <c r="C1" s="259"/>
      <c r="D1" s="259"/>
      <c r="E1" s="259"/>
      <c r="F1" s="259"/>
      <c r="G1" s="259"/>
      <c r="H1" s="259"/>
      <c r="I1" s="24"/>
      <c r="J1" s="25"/>
    </row>
    <row r="2" spans="1:10" ht="5.25" customHeight="1">
      <c r="A2" s="7"/>
      <c r="B2" s="7"/>
      <c r="C2" s="7"/>
      <c r="D2" s="7"/>
      <c r="E2" s="7"/>
      <c r="F2" s="7"/>
      <c r="G2" s="7"/>
      <c r="H2" s="7"/>
      <c r="I2" s="7"/>
      <c r="J2" s="10"/>
    </row>
    <row r="3" spans="1:10" s="15" customFormat="1" ht="14.25">
      <c r="A3" s="14" t="s">
        <v>7</v>
      </c>
      <c r="B3" s="14"/>
      <c r="C3" s="29" t="s">
        <v>317</v>
      </c>
      <c r="D3" s="30"/>
      <c r="E3" s="30"/>
      <c r="F3" s="30"/>
      <c r="G3" s="27" t="str">
        <f>'POA-01'!I3</f>
        <v>CODIGO</v>
      </c>
      <c r="H3" s="28">
        <f>'POA-01'!J3</f>
        <v>1139001</v>
      </c>
      <c r="I3" s="20"/>
      <c r="J3" s="16"/>
    </row>
    <row r="4" spans="1:10" s="15" customFormat="1" ht="15" customHeight="1">
      <c r="A4" s="14"/>
      <c r="B4" s="14"/>
      <c r="C4" s="20"/>
      <c r="D4" s="20"/>
      <c r="E4" s="20"/>
      <c r="F4" s="20"/>
      <c r="G4" s="20"/>
      <c r="H4" s="20"/>
      <c r="I4" s="20"/>
      <c r="J4" s="16"/>
    </row>
    <row r="5" spans="1:10" s="15" customFormat="1" ht="14.25">
      <c r="A5" s="16" t="s">
        <v>8</v>
      </c>
      <c r="B5" s="16"/>
      <c r="C5" s="33">
        <f>+'POA-01'!D5</f>
        <v>567908000</v>
      </c>
      <c r="D5" s="20"/>
      <c r="E5" s="20"/>
      <c r="F5" s="20"/>
      <c r="G5" s="20"/>
      <c r="H5" s="20"/>
      <c r="I5" s="20"/>
      <c r="J5" s="16"/>
    </row>
    <row r="6" s="13" customFormat="1" ht="11.25"/>
    <row r="7" s="13" customFormat="1" ht="11.25"/>
    <row r="8" spans="1:8" s="17" customFormat="1" ht="12" thickBot="1">
      <c r="A8" s="23" t="s">
        <v>34</v>
      </c>
      <c r="H8" s="18" t="s">
        <v>35</v>
      </c>
    </row>
    <row r="9" spans="1:8" s="19" customFormat="1" ht="23.25" thickBot="1">
      <c r="A9" s="93" t="s">
        <v>49</v>
      </c>
      <c r="B9" s="94" t="s">
        <v>33</v>
      </c>
      <c r="C9" s="94" t="s">
        <v>27</v>
      </c>
      <c r="D9" s="95" t="s">
        <v>28</v>
      </c>
      <c r="E9" s="95" t="s">
        <v>24</v>
      </c>
      <c r="F9" s="95" t="s">
        <v>39</v>
      </c>
      <c r="G9" s="95" t="s">
        <v>38</v>
      </c>
      <c r="H9" s="96" t="s">
        <v>37</v>
      </c>
    </row>
    <row r="10" spans="1:8" s="19" customFormat="1" ht="11.25">
      <c r="A10" s="151">
        <v>1</v>
      </c>
      <c r="B10" s="151"/>
      <c r="C10" s="151"/>
      <c r="D10" s="152"/>
      <c r="E10" s="152"/>
      <c r="F10" s="153"/>
      <c r="G10" s="153"/>
      <c r="H10" s="152"/>
    </row>
    <row r="11" spans="1:8" s="19" customFormat="1" ht="11.25">
      <c r="A11" s="154">
        <v>2</v>
      </c>
      <c r="B11" s="155"/>
      <c r="C11" s="151"/>
      <c r="D11" s="156"/>
      <c r="E11" s="157"/>
      <c r="F11" s="153"/>
      <c r="G11" s="153"/>
      <c r="H11" s="152"/>
    </row>
    <row r="12" spans="1:8" s="19" customFormat="1" ht="11.25">
      <c r="A12" s="151">
        <v>3</v>
      </c>
      <c r="B12" s="158"/>
      <c r="C12" s="151"/>
      <c r="D12" s="151"/>
      <c r="E12" s="157"/>
      <c r="F12" s="153"/>
      <c r="G12" s="153"/>
      <c r="H12" s="152"/>
    </row>
    <row r="13" spans="1:8" s="19" customFormat="1" ht="11.25">
      <c r="A13" s="154">
        <v>4</v>
      </c>
      <c r="B13" s="158"/>
      <c r="C13" s="151"/>
      <c r="D13" s="152"/>
      <c r="E13" s="157"/>
      <c r="F13" s="153"/>
      <c r="G13" s="153"/>
      <c r="H13" s="152"/>
    </row>
    <row r="14" spans="1:8" s="19" customFormat="1" ht="11.25">
      <c r="A14" s="151">
        <v>5</v>
      </c>
      <c r="B14" s="158"/>
      <c r="C14" s="151"/>
      <c r="D14" s="152"/>
      <c r="E14" s="157"/>
      <c r="F14" s="153"/>
      <c r="G14" s="153"/>
      <c r="H14" s="152"/>
    </row>
    <row r="15" spans="1:8" s="13" customFormat="1" ht="11.25">
      <c r="A15" s="154">
        <v>6</v>
      </c>
      <c r="B15" s="158"/>
      <c r="C15" s="151"/>
      <c r="D15" s="152"/>
      <c r="E15" s="157"/>
      <c r="F15" s="153"/>
      <c r="G15" s="153"/>
      <c r="H15" s="152"/>
    </row>
    <row r="16" spans="1:8" s="13" customFormat="1" ht="11.25">
      <c r="A16" s="154"/>
      <c r="B16" s="158"/>
      <c r="C16" s="151"/>
      <c r="D16" s="152"/>
      <c r="E16" s="157"/>
      <c r="F16" s="153"/>
      <c r="G16" s="153"/>
      <c r="H16" s="152"/>
    </row>
    <row r="17" spans="1:8" s="13" customFormat="1" ht="11.25">
      <c r="A17" s="154"/>
      <c r="B17" s="158"/>
      <c r="C17" s="151"/>
      <c r="D17" s="152"/>
      <c r="E17" s="157"/>
      <c r="F17" s="153"/>
      <c r="G17" s="153"/>
      <c r="H17" s="152"/>
    </row>
    <row r="18" spans="1:8" s="13" customFormat="1" ht="11.25">
      <c r="A18" s="154"/>
      <c r="B18" s="158"/>
      <c r="C18" s="151"/>
      <c r="D18" s="152"/>
      <c r="E18" s="157"/>
      <c r="F18" s="153"/>
      <c r="G18" s="153"/>
      <c r="H18" s="152"/>
    </row>
    <row r="19" spans="1:8" s="13" customFormat="1" ht="11.25">
      <c r="A19" s="154"/>
      <c r="B19" s="158"/>
      <c r="C19" s="151"/>
      <c r="D19" s="152"/>
      <c r="E19" s="157"/>
      <c r="F19" s="153"/>
      <c r="G19" s="153"/>
      <c r="H19" s="152"/>
    </row>
    <row r="20" spans="1:8" s="13" customFormat="1" ht="11.25">
      <c r="A20" s="154"/>
      <c r="B20" s="158"/>
      <c r="C20" s="151"/>
      <c r="D20" s="152"/>
      <c r="E20" s="157"/>
      <c r="F20" s="153"/>
      <c r="G20" s="153"/>
      <c r="H20" s="152"/>
    </row>
    <row r="21" spans="1:8" s="13" customFormat="1" ht="11.25">
      <c r="A21" s="9"/>
      <c r="B21" s="73"/>
      <c r="C21" s="109"/>
      <c r="D21" s="71"/>
      <c r="E21" s="71"/>
      <c r="F21" s="71"/>
      <c r="G21" s="71"/>
      <c r="H21" s="71"/>
    </row>
    <row r="22" spans="1:8" s="13" customFormat="1" ht="11.25">
      <c r="A22" s="11"/>
      <c r="B22" s="11"/>
      <c r="C22" s="11"/>
      <c r="D22" s="82"/>
      <c r="E22" s="82"/>
      <c r="F22" s="72" t="s">
        <v>29</v>
      </c>
      <c r="G22" s="72">
        <f>SUM(G10:G21)</f>
        <v>0</v>
      </c>
      <c r="H22" s="72"/>
    </row>
    <row r="23" spans="4:8" s="13" customFormat="1" ht="11.25">
      <c r="D23" s="75"/>
      <c r="E23" s="75"/>
      <c r="F23" s="75"/>
      <c r="G23" s="75"/>
      <c r="H23" s="75"/>
    </row>
    <row r="24" s="13" customFormat="1" ht="11.25"/>
    <row r="25" s="13" customFormat="1" ht="11.25"/>
    <row r="26" s="13" customFormat="1" ht="11.25"/>
    <row r="27" s="13" customFormat="1" ht="11.25"/>
  </sheetData>
  <sheetProtection/>
  <mergeCells count="1">
    <mergeCell ref="A1:H1"/>
  </mergeCells>
  <printOptions/>
  <pageMargins left="0.7874015748031497" right="0.7874015748031497" top="1.79" bottom="0.984251968503937" header="0" footer="0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90" zoomScaleNormal="90" zoomScalePageLayoutView="0" workbookViewId="0" topLeftCell="A1">
      <selection activeCell="K13" sqref="K13"/>
    </sheetView>
  </sheetViews>
  <sheetFormatPr defaultColWidth="11.421875" defaultRowHeight="12.75"/>
  <cols>
    <col min="1" max="1" width="5.57421875" style="6" customWidth="1"/>
    <col min="2" max="2" width="45.8515625" style="6" customWidth="1"/>
    <col min="3" max="3" width="19.7109375" style="6" customWidth="1"/>
    <col min="4" max="4" width="10.00390625" style="6" customWidth="1"/>
    <col min="5" max="5" width="10.57421875" style="6" customWidth="1"/>
    <col min="6" max="6" width="8.28125" style="6" customWidth="1"/>
    <col min="7" max="7" width="13.28125" style="6" customWidth="1"/>
    <col min="8" max="8" width="14.8515625" style="6" customWidth="1"/>
    <col min="9" max="9" width="17.00390625" style="6" customWidth="1"/>
    <col min="10" max="16384" width="11.421875" style="6" customWidth="1"/>
  </cols>
  <sheetData>
    <row r="1" spans="1:10" ht="18">
      <c r="A1" s="259" t="str">
        <f>+'POA-01'!A1:J1</f>
        <v>PLAN OPERATIVO ANUAL -2009</v>
      </c>
      <c r="B1" s="259"/>
      <c r="C1" s="259"/>
      <c r="D1" s="259"/>
      <c r="E1" s="259"/>
      <c r="F1" s="259"/>
      <c r="G1" s="259"/>
      <c r="H1" s="259"/>
      <c r="I1" s="259"/>
      <c r="J1" s="10"/>
    </row>
    <row r="2" spans="1:10" ht="5.25" customHeight="1">
      <c r="A2" s="7"/>
      <c r="B2" s="7"/>
      <c r="C2" s="7"/>
      <c r="D2" s="7"/>
      <c r="E2" s="7"/>
      <c r="F2" s="7"/>
      <c r="G2" s="7"/>
      <c r="H2" s="7" t="s">
        <v>184</v>
      </c>
      <c r="I2" s="7"/>
      <c r="J2" s="10"/>
    </row>
    <row r="3" spans="1:10" s="15" customFormat="1" ht="14.25">
      <c r="A3" s="14" t="s">
        <v>7</v>
      </c>
      <c r="B3" s="14"/>
      <c r="C3" s="316" t="s">
        <v>317</v>
      </c>
      <c r="D3" s="316"/>
      <c r="E3" s="316"/>
      <c r="F3" s="316"/>
      <c r="G3" s="316"/>
      <c r="H3" s="27" t="str">
        <f>'POA-01'!I3</f>
        <v>CODIGO</v>
      </c>
      <c r="I3" s="31">
        <f>'POA-01'!J3</f>
        <v>1139001</v>
      </c>
      <c r="J3" s="16"/>
    </row>
    <row r="4" spans="1:10" s="15" customFormat="1" ht="15" customHeight="1">
      <c r="A4" s="14"/>
      <c r="B4" s="14"/>
      <c r="C4" s="20"/>
      <c r="D4" s="20"/>
      <c r="E4" s="20"/>
      <c r="F4" s="20"/>
      <c r="G4" s="20"/>
      <c r="H4" s="20"/>
      <c r="I4" s="20"/>
      <c r="J4" s="16"/>
    </row>
    <row r="5" spans="1:10" s="15" customFormat="1" ht="14.25">
      <c r="A5" s="16" t="s">
        <v>8</v>
      </c>
      <c r="B5" s="16"/>
      <c r="C5" s="33">
        <f>+'POA-01'!D5</f>
        <v>567908000</v>
      </c>
      <c r="D5" s="20"/>
      <c r="E5" s="20"/>
      <c r="F5" s="20"/>
      <c r="G5" s="20"/>
      <c r="H5" s="20"/>
      <c r="I5" s="20"/>
      <c r="J5" s="16"/>
    </row>
    <row r="6" spans="1:10" s="15" customFormat="1" ht="14.25">
      <c r="A6" s="16"/>
      <c r="B6" s="16"/>
      <c r="C6" s="34"/>
      <c r="D6" s="20"/>
      <c r="E6" s="20"/>
      <c r="F6" s="20"/>
      <c r="G6" s="20"/>
      <c r="H6" s="20"/>
      <c r="I6" s="20"/>
      <c r="J6" s="16"/>
    </row>
    <row r="7" spans="1:10" s="15" customFormat="1" ht="14.25">
      <c r="A7" s="16"/>
      <c r="B7" s="16"/>
      <c r="C7" s="34"/>
      <c r="D7" s="20"/>
      <c r="E7" s="20"/>
      <c r="F7" s="20"/>
      <c r="G7" s="20"/>
      <c r="H7" s="20"/>
      <c r="I7" s="20"/>
      <c r="J7" s="16"/>
    </row>
    <row r="8" ht="12.75">
      <c r="C8" s="252">
        <f>+C5-C26</f>
        <v>132908000</v>
      </c>
    </row>
    <row r="9" spans="1:9" s="17" customFormat="1" ht="11.25">
      <c r="A9" s="17" t="s">
        <v>40</v>
      </c>
      <c r="I9" s="18" t="s">
        <v>46</v>
      </c>
    </row>
    <row r="10" spans="1:9" s="19" customFormat="1" ht="12.75" customHeight="1">
      <c r="A10" s="325" t="s">
        <v>49</v>
      </c>
      <c r="B10" s="306" t="s">
        <v>14</v>
      </c>
      <c r="C10" s="306" t="s">
        <v>25</v>
      </c>
      <c r="D10" s="306" t="s">
        <v>0</v>
      </c>
      <c r="E10" s="306"/>
      <c r="F10" s="306"/>
      <c r="G10" s="326" t="s">
        <v>43</v>
      </c>
      <c r="H10" s="326" t="s">
        <v>42</v>
      </c>
      <c r="I10" s="306" t="s">
        <v>3</v>
      </c>
    </row>
    <row r="11" spans="1:9" s="19" customFormat="1" ht="18">
      <c r="A11" s="325"/>
      <c r="B11" s="306"/>
      <c r="C11" s="306"/>
      <c r="D11" s="284" t="s">
        <v>41</v>
      </c>
      <c r="E11" s="284" t="s">
        <v>4</v>
      </c>
      <c r="F11" s="284" t="s">
        <v>5</v>
      </c>
      <c r="G11" s="326"/>
      <c r="H11" s="326"/>
      <c r="I11" s="306"/>
    </row>
    <row r="12" spans="1:9" s="13" customFormat="1" ht="12" customHeight="1">
      <c r="A12" s="324" t="s">
        <v>44</v>
      </c>
      <c r="B12" s="324"/>
      <c r="C12" s="324"/>
      <c r="D12" s="324"/>
      <c r="E12" s="324"/>
      <c r="F12" s="324"/>
      <c r="G12" s="324"/>
      <c r="H12" s="324"/>
      <c r="I12" s="324"/>
    </row>
    <row r="13" spans="1:11" s="13" customFormat="1" ht="24">
      <c r="A13" s="170">
        <v>1</v>
      </c>
      <c r="B13" s="132" t="s">
        <v>217</v>
      </c>
      <c r="C13" s="172">
        <v>40000000</v>
      </c>
      <c r="D13" s="209">
        <v>39479</v>
      </c>
      <c r="E13" s="209">
        <v>39783</v>
      </c>
      <c r="F13" s="1">
        <v>11</v>
      </c>
      <c r="G13" s="70"/>
      <c r="H13" s="70"/>
      <c r="I13" s="170" t="s">
        <v>220</v>
      </c>
      <c r="J13" s="280"/>
      <c r="K13" s="189"/>
    </row>
    <row r="14" spans="1:11" s="13" customFormat="1" ht="36">
      <c r="A14" s="170">
        <v>2</v>
      </c>
      <c r="B14" s="132" t="s">
        <v>218</v>
      </c>
      <c r="C14" s="172">
        <v>100000000</v>
      </c>
      <c r="D14" s="209">
        <v>39479</v>
      </c>
      <c r="E14" s="209">
        <v>39783</v>
      </c>
      <c r="F14" s="1">
        <v>11</v>
      </c>
      <c r="G14" s="2"/>
      <c r="H14" s="2"/>
      <c r="I14" s="170" t="s">
        <v>220</v>
      </c>
      <c r="J14" s="281"/>
      <c r="K14" s="189"/>
    </row>
    <row r="15" spans="1:10" s="13" customFormat="1" ht="15.75" customHeight="1">
      <c r="A15" s="170">
        <v>3</v>
      </c>
      <c r="B15" s="132" t="s">
        <v>221</v>
      </c>
      <c r="C15" s="172">
        <v>100000000</v>
      </c>
      <c r="D15" s="209">
        <v>39479</v>
      </c>
      <c r="E15" s="209">
        <v>39722</v>
      </c>
      <c r="F15" s="1">
        <v>8</v>
      </c>
      <c r="G15" s="2"/>
      <c r="H15" s="2"/>
      <c r="I15" s="1" t="s">
        <v>220</v>
      </c>
      <c r="J15" s="282"/>
    </row>
    <row r="16" spans="1:10" s="13" customFormat="1" ht="12" customHeight="1">
      <c r="A16" s="329" t="s">
        <v>29</v>
      </c>
      <c r="B16" s="329"/>
      <c r="C16" s="69">
        <f>SUM(C13:C15)</f>
        <v>240000000</v>
      </c>
      <c r="D16" s="285"/>
      <c r="E16" s="285"/>
      <c r="F16" s="285"/>
      <c r="G16" s="285"/>
      <c r="H16" s="285"/>
      <c r="I16" s="285"/>
      <c r="J16" s="246"/>
    </row>
    <row r="17" spans="1:10" s="13" customFormat="1" ht="12">
      <c r="A17" s="286"/>
      <c r="B17" s="286"/>
      <c r="C17" s="287"/>
      <c r="D17" s="285"/>
      <c r="E17" s="285"/>
      <c r="F17" s="285"/>
      <c r="G17" s="285"/>
      <c r="H17" s="285"/>
      <c r="I17" s="285"/>
      <c r="J17" s="246"/>
    </row>
    <row r="18" spans="1:9" s="13" customFormat="1" ht="12" customHeight="1">
      <c r="A18" s="327" t="s">
        <v>45</v>
      </c>
      <c r="B18" s="327"/>
      <c r="C18" s="327"/>
      <c r="D18" s="327"/>
      <c r="E18" s="327"/>
      <c r="F18" s="327"/>
      <c r="G18" s="327"/>
      <c r="H18" s="327"/>
      <c r="I18" s="327"/>
    </row>
    <row r="19" spans="1:9" s="13" customFormat="1" ht="24">
      <c r="A19" s="170">
        <v>1</v>
      </c>
      <c r="B19" s="132" t="s">
        <v>216</v>
      </c>
      <c r="C19" s="172">
        <v>80000000</v>
      </c>
      <c r="D19" s="209">
        <v>39508</v>
      </c>
      <c r="E19" s="209">
        <v>39783</v>
      </c>
      <c r="F19" s="1">
        <v>10</v>
      </c>
      <c r="G19" s="2"/>
      <c r="H19" s="2"/>
      <c r="I19" s="1" t="s">
        <v>219</v>
      </c>
    </row>
    <row r="20" spans="1:9" s="13" customFormat="1" ht="36">
      <c r="A20" s="170">
        <v>2</v>
      </c>
      <c r="B20" s="132" t="s">
        <v>313</v>
      </c>
      <c r="C20" s="172">
        <v>85000000</v>
      </c>
      <c r="D20" s="209"/>
      <c r="E20" s="209"/>
      <c r="F20" s="1"/>
      <c r="G20" s="2"/>
      <c r="H20" s="2"/>
      <c r="I20" s="1"/>
    </row>
    <row r="21" spans="1:9" s="13" customFormat="1" ht="24.75" customHeight="1">
      <c r="A21" s="170">
        <v>2</v>
      </c>
      <c r="B21" s="132" t="s">
        <v>230</v>
      </c>
      <c r="C21" s="172">
        <v>10000000</v>
      </c>
      <c r="D21" s="209">
        <v>39479</v>
      </c>
      <c r="E21" s="209">
        <v>39783</v>
      </c>
      <c r="F21" s="1">
        <v>11</v>
      </c>
      <c r="G21" s="5"/>
      <c r="H21" s="5"/>
      <c r="I21" s="1" t="s">
        <v>220</v>
      </c>
    </row>
    <row r="22" spans="1:12" s="13" customFormat="1" ht="24">
      <c r="A22" s="170">
        <v>3</v>
      </c>
      <c r="B22" s="132" t="s">
        <v>253</v>
      </c>
      <c r="C22" s="172">
        <v>10000000</v>
      </c>
      <c r="D22" s="209">
        <v>39508</v>
      </c>
      <c r="E22" s="209">
        <v>39783</v>
      </c>
      <c r="F22" s="1">
        <v>10</v>
      </c>
      <c r="G22" s="5"/>
      <c r="H22" s="5"/>
      <c r="I22" s="1" t="s">
        <v>219</v>
      </c>
      <c r="J22" s="189"/>
      <c r="K22" s="189"/>
      <c r="L22" s="189"/>
    </row>
    <row r="23" spans="1:12" s="13" customFormat="1" ht="24">
      <c r="A23" s="170">
        <v>4</v>
      </c>
      <c r="B23" s="132" t="s">
        <v>232</v>
      </c>
      <c r="C23" s="172">
        <v>10000000</v>
      </c>
      <c r="D23" s="209">
        <v>39539</v>
      </c>
      <c r="E23" s="209">
        <v>39783</v>
      </c>
      <c r="F23" s="1">
        <v>9</v>
      </c>
      <c r="G23" s="5"/>
      <c r="H23" s="5"/>
      <c r="I23" s="1" t="s">
        <v>220</v>
      </c>
      <c r="J23" s="189"/>
      <c r="K23" s="189"/>
      <c r="L23" s="189"/>
    </row>
    <row r="24" spans="1:12" s="13" customFormat="1" ht="12.75">
      <c r="A24" s="328" t="s">
        <v>29</v>
      </c>
      <c r="B24" s="328"/>
      <c r="C24" s="69">
        <f>SUM(C19:C23)</f>
        <v>195000000</v>
      </c>
      <c r="D24" s="4"/>
      <c r="E24" s="4"/>
      <c r="F24" s="4"/>
      <c r="G24" s="3"/>
      <c r="H24" s="3"/>
      <c r="I24" s="3"/>
      <c r="J24" s="189"/>
      <c r="K24" s="189"/>
      <c r="L24" s="189"/>
    </row>
    <row r="25" spans="1:9" s="13" customFormat="1" ht="11.25">
      <c r="A25" s="22"/>
      <c r="B25" s="22"/>
      <c r="C25" s="22"/>
      <c r="D25" s="22"/>
      <c r="E25" s="22"/>
      <c r="F25" s="22"/>
      <c r="G25" s="22"/>
      <c r="H25" s="22"/>
      <c r="I25" s="22"/>
    </row>
    <row r="26" spans="1:9" s="13" customFormat="1" ht="13.5" customHeight="1">
      <c r="A26" s="22"/>
      <c r="B26" s="23" t="s">
        <v>215</v>
      </c>
      <c r="C26" s="187">
        <f>+C16+C24</f>
        <v>435000000</v>
      </c>
      <c r="D26" s="22"/>
      <c r="E26" s="22"/>
      <c r="F26" s="22"/>
      <c r="G26" s="22"/>
      <c r="H26" s="22"/>
      <c r="I26" s="22"/>
    </row>
    <row r="27" spans="1:9" s="13" customFormat="1" ht="11.25">
      <c r="A27" s="22"/>
      <c r="B27" s="22"/>
      <c r="C27" s="22"/>
      <c r="D27" s="22"/>
      <c r="E27" s="22"/>
      <c r="F27" s="22"/>
      <c r="G27" s="22"/>
      <c r="H27" s="22"/>
      <c r="I27" s="22"/>
    </row>
    <row r="28" spans="1:9" s="13" customFormat="1" ht="11.25">
      <c r="A28" s="22"/>
      <c r="B28" s="22"/>
      <c r="C28" s="22"/>
      <c r="D28" s="22"/>
      <c r="E28" s="22"/>
      <c r="F28" s="22"/>
      <c r="G28" s="22"/>
      <c r="H28" s="22"/>
      <c r="I28" s="22"/>
    </row>
    <row r="29" spans="1:9" s="13" customFormat="1" ht="11.25">
      <c r="A29" s="22"/>
      <c r="B29" s="22"/>
      <c r="C29" s="22"/>
      <c r="D29" s="22"/>
      <c r="E29" s="22"/>
      <c r="F29" s="22"/>
      <c r="G29" s="22"/>
      <c r="H29" s="22"/>
      <c r="I29" s="22"/>
    </row>
    <row r="30" spans="1:9" s="13" customFormat="1" ht="11.25">
      <c r="A30" s="22"/>
      <c r="B30" s="22"/>
      <c r="C30" s="22"/>
      <c r="D30" s="22"/>
      <c r="E30" s="22"/>
      <c r="F30" s="22"/>
      <c r="G30" s="22"/>
      <c r="H30" s="22"/>
      <c r="I30" s="22"/>
    </row>
    <row r="31" spans="1:9" s="13" customFormat="1" ht="11.25">
      <c r="A31" s="22"/>
      <c r="B31" s="22"/>
      <c r="C31" s="22"/>
      <c r="D31" s="22"/>
      <c r="E31" s="22"/>
      <c r="F31" s="22"/>
      <c r="G31" s="22"/>
      <c r="H31" s="22"/>
      <c r="I31" s="22"/>
    </row>
    <row r="32" spans="1:9" s="13" customFormat="1" ht="11.25">
      <c r="A32" s="22"/>
      <c r="B32" s="22"/>
      <c r="C32" s="22"/>
      <c r="D32" s="22"/>
      <c r="E32" s="22"/>
      <c r="F32" s="22"/>
      <c r="G32" s="22"/>
      <c r="H32" s="22"/>
      <c r="I32" s="22"/>
    </row>
    <row r="33" spans="1:9" s="13" customFormat="1" ht="11.25">
      <c r="A33" s="22"/>
      <c r="B33" s="22"/>
      <c r="C33" s="22"/>
      <c r="D33" s="22"/>
      <c r="E33" s="22"/>
      <c r="F33" s="22"/>
      <c r="G33" s="22"/>
      <c r="H33" s="22"/>
      <c r="I33" s="22"/>
    </row>
    <row r="34" spans="1:9" s="13" customFormat="1" ht="11.25">
      <c r="A34" s="22"/>
      <c r="B34" s="22"/>
      <c r="C34" s="22"/>
      <c r="D34" s="22"/>
      <c r="E34" s="22"/>
      <c r="F34" s="22"/>
      <c r="G34" s="22"/>
      <c r="H34" s="22"/>
      <c r="I34" s="22"/>
    </row>
    <row r="35" spans="1:9" s="13" customFormat="1" ht="11.25">
      <c r="A35" s="22"/>
      <c r="B35" s="22"/>
      <c r="C35" s="22"/>
      <c r="D35" s="22"/>
      <c r="E35" s="22"/>
      <c r="F35" s="22"/>
      <c r="G35" s="22"/>
      <c r="H35" s="22"/>
      <c r="I35" s="22"/>
    </row>
    <row r="36" spans="1:9" s="13" customFormat="1" ht="11.25">
      <c r="A36" s="22"/>
      <c r="B36" s="22"/>
      <c r="C36" s="22"/>
      <c r="D36" s="22"/>
      <c r="E36" s="22"/>
      <c r="F36" s="22"/>
      <c r="G36" s="22"/>
      <c r="H36" s="22"/>
      <c r="I36" s="22"/>
    </row>
    <row r="37" spans="1:9" s="13" customFormat="1" ht="11.25">
      <c r="A37" s="22"/>
      <c r="B37" s="22"/>
      <c r="C37" s="22"/>
      <c r="D37" s="22"/>
      <c r="E37" s="22"/>
      <c r="F37" s="22"/>
      <c r="G37" s="22"/>
      <c r="H37" s="22"/>
      <c r="I37" s="22"/>
    </row>
    <row r="38" spans="1:9" s="13" customFormat="1" ht="11.25">
      <c r="A38" s="22"/>
      <c r="B38" s="22"/>
      <c r="C38" s="22"/>
      <c r="D38" s="22"/>
      <c r="E38" s="22"/>
      <c r="F38" s="22"/>
      <c r="G38" s="22"/>
      <c r="H38" s="22"/>
      <c r="I38" s="22"/>
    </row>
    <row r="39" spans="1:9" s="13" customFormat="1" ht="11.25">
      <c r="A39" s="22"/>
      <c r="B39" s="22"/>
      <c r="C39" s="22"/>
      <c r="D39" s="22"/>
      <c r="E39" s="22"/>
      <c r="F39" s="22"/>
      <c r="G39" s="22"/>
      <c r="H39" s="22"/>
      <c r="I39" s="22"/>
    </row>
    <row r="40" spans="1:9" s="13" customFormat="1" ht="11.25">
      <c r="A40" s="22"/>
      <c r="B40" s="22"/>
      <c r="C40" s="22"/>
      <c r="D40" s="22"/>
      <c r="E40" s="22"/>
      <c r="F40" s="22"/>
      <c r="G40" s="22"/>
      <c r="H40" s="22"/>
      <c r="I40" s="22"/>
    </row>
    <row r="41" s="13" customFormat="1" ht="11.25"/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  <row r="358" s="13" customFormat="1" ht="11.25"/>
    <row r="359" s="13" customFormat="1" ht="11.25"/>
    <row r="360" s="13" customFormat="1" ht="11.25"/>
    <row r="361" s="13" customFormat="1" ht="11.25"/>
    <row r="362" s="13" customFormat="1" ht="11.25"/>
    <row r="363" s="13" customFormat="1" ht="11.25"/>
    <row r="364" s="13" customFormat="1" ht="11.25"/>
    <row r="365" s="13" customFormat="1" ht="11.25"/>
    <row r="366" s="13" customFormat="1" ht="11.25"/>
    <row r="367" s="13" customFormat="1" ht="11.25"/>
    <row r="368" s="13" customFormat="1" ht="11.25"/>
    <row r="369" s="13" customFormat="1" ht="11.25"/>
    <row r="370" s="13" customFormat="1" ht="11.25"/>
    <row r="371" s="13" customFormat="1" ht="11.25"/>
    <row r="372" s="13" customFormat="1" ht="11.25"/>
    <row r="373" s="13" customFormat="1" ht="11.25"/>
    <row r="374" s="13" customFormat="1" ht="11.25"/>
    <row r="375" s="13" customFormat="1" ht="11.25"/>
    <row r="376" s="13" customFormat="1" ht="11.25"/>
    <row r="377" s="13" customFormat="1" ht="11.25"/>
    <row r="378" s="13" customFormat="1" ht="11.25"/>
    <row r="379" s="13" customFormat="1" ht="11.25"/>
    <row r="380" s="13" customFormat="1" ht="11.25"/>
    <row r="381" s="13" customFormat="1" ht="11.25"/>
    <row r="382" s="13" customFormat="1" ht="11.25"/>
    <row r="383" s="13" customFormat="1" ht="11.25"/>
    <row r="384" s="13" customFormat="1" ht="11.25"/>
    <row r="385" s="13" customFormat="1" ht="11.25"/>
    <row r="386" s="13" customFormat="1" ht="11.25"/>
    <row r="387" s="13" customFormat="1" ht="11.25"/>
    <row r="388" s="13" customFormat="1" ht="11.25"/>
    <row r="389" s="13" customFormat="1" ht="11.25"/>
    <row r="390" s="13" customFormat="1" ht="11.25"/>
    <row r="391" s="13" customFormat="1" ht="11.25"/>
    <row r="392" s="13" customFormat="1" ht="11.25"/>
    <row r="393" s="13" customFormat="1" ht="11.25"/>
    <row r="394" s="13" customFormat="1" ht="11.25"/>
    <row r="395" s="13" customFormat="1" ht="11.25"/>
    <row r="396" s="13" customFormat="1" ht="11.25"/>
    <row r="397" s="13" customFormat="1" ht="11.25"/>
    <row r="398" s="13" customFormat="1" ht="11.25"/>
    <row r="399" s="13" customFormat="1" ht="11.25"/>
    <row r="400" s="13" customFormat="1" ht="11.25"/>
    <row r="401" s="13" customFormat="1" ht="11.25"/>
    <row r="402" s="13" customFormat="1" ht="11.25"/>
    <row r="403" s="13" customFormat="1" ht="11.25"/>
    <row r="404" s="13" customFormat="1" ht="11.25"/>
    <row r="405" s="13" customFormat="1" ht="11.25"/>
    <row r="406" s="13" customFormat="1" ht="11.25"/>
    <row r="407" s="13" customFormat="1" ht="11.25"/>
    <row r="408" s="13" customFormat="1" ht="11.25"/>
    <row r="409" s="13" customFormat="1" ht="11.25"/>
    <row r="410" s="13" customFormat="1" ht="11.25"/>
    <row r="411" s="13" customFormat="1" ht="11.25"/>
    <row r="412" s="13" customFormat="1" ht="11.25"/>
    <row r="413" s="13" customFormat="1" ht="11.25"/>
    <row r="414" s="13" customFormat="1" ht="11.25"/>
    <row r="415" s="13" customFormat="1" ht="11.25"/>
    <row r="416" s="13" customFormat="1" ht="11.25"/>
    <row r="417" s="13" customFormat="1" ht="11.25"/>
    <row r="418" s="13" customFormat="1" ht="11.25"/>
    <row r="419" s="13" customFormat="1" ht="11.25"/>
    <row r="420" s="13" customFormat="1" ht="11.25"/>
    <row r="421" s="13" customFormat="1" ht="11.25"/>
    <row r="422" s="13" customFormat="1" ht="11.25"/>
    <row r="423" s="13" customFormat="1" ht="11.25"/>
    <row r="424" s="13" customFormat="1" ht="11.25"/>
    <row r="425" s="13" customFormat="1" ht="11.25"/>
    <row r="426" s="13" customFormat="1" ht="11.25"/>
    <row r="427" s="13" customFormat="1" ht="11.25"/>
    <row r="428" s="13" customFormat="1" ht="11.25"/>
    <row r="429" s="13" customFormat="1" ht="11.25"/>
    <row r="430" s="13" customFormat="1" ht="11.25"/>
    <row r="431" s="13" customFormat="1" ht="11.25"/>
    <row r="432" s="13" customFormat="1" ht="11.25"/>
    <row r="433" s="13" customFormat="1" ht="11.25"/>
    <row r="434" s="13" customFormat="1" ht="11.25"/>
    <row r="435" s="13" customFormat="1" ht="11.25"/>
    <row r="436" s="13" customFormat="1" ht="11.25"/>
    <row r="437" s="13" customFormat="1" ht="11.25"/>
    <row r="438" s="13" customFormat="1" ht="11.25"/>
    <row r="439" s="13" customFormat="1" ht="11.25"/>
    <row r="440" s="13" customFormat="1" ht="11.25"/>
    <row r="441" s="13" customFormat="1" ht="11.25"/>
    <row r="442" s="13" customFormat="1" ht="11.25"/>
    <row r="443" s="13" customFormat="1" ht="11.25"/>
    <row r="444" s="13" customFormat="1" ht="11.25"/>
    <row r="445" s="13" customFormat="1" ht="11.25"/>
    <row r="446" s="13" customFormat="1" ht="11.25"/>
    <row r="447" s="13" customFormat="1" ht="11.25"/>
    <row r="448" s="13" customFormat="1" ht="11.25"/>
    <row r="449" s="13" customFormat="1" ht="11.25"/>
    <row r="450" s="13" customFormat="1" ht="11.25"/>
    <row r="451" s="13" customFormat="1" ht="11.25"/>
    <row r="452" s="13" customFormat="1" ht="11.25"/>
    <row r="453" s="13" customFormat="1" ht="11.25"/>
    <row r="454" s="13" customFormat="1" ht="11.25"/>
    <row r="455" s="13" customFormat="1" ht="11.25"/>
    <row r="456" s="13" customFormat="1" ht="11.25"/>
    <row r="457" s="13" customFormat="1" ht="11.25"/>
    <row r="458" s="13" customFormat="1" ht="11.25"/>
    <row r="459" s="13" customFormat="1" ht="11.25"/>
    <row r="460" s="13" customFormat="1" ht="11.25"/>
    <row r="461" s="13" customFormat="1" ht="11.25"/>
    <row r="462" s="13" customFormat="1" ht="11.25"/>
    <row r="463" s="13" customFormat="1" ht="11.25"/>
    <row r="464" s="13" customFormat="1" ht="11.25"/>
    <row r="465" s="13" customFormat="1" ht="11.25"/>
    <row r="466" s="13" customFormat="1" ht="11.25"/>
    <row r="467" s="13" customFormat="1" ht="11.25"/>
    <row r="468" s="13" customFormat="1" ht="11.25"/>
    <row r="469" s="13" customFormat="1" ht="11.25"/>
    <row r="470" s="13" customFormat="1" ht="11.25"/>
    <row r="471" s="13" customFormat="1" ht="11.25"/>
    <row r="472" s="13" customFormat="1" ht="11.25"/>
    <row r="473" s="13" customFormat="1" ht="11.25"/>
    <row r="474" s="13" customFormat="1" ht="11.25"/>
    <row r="475" s="13" customFormat="1" ht="11.25"/>
    <row r="476" s="13" customFormat="1" ht="11.25"/>
    <row r="477" s="13" customFormat="1" ht="11.25"/>
    <row r="478" s="13" customFormat="1" ht="11.25"/>
    <row r="479" s="13" customFormat="1" ht="11.25"/>
    <row r="480" s="13" customFormat="1" ht="11.25"/>
    <row r="481" s="13" customFormat="1" ht="11.25"/>
    <row r="482" s="13" customFormat="1" ht="11.25"/>
    <row r="483" s="13" customFormat="1" ht="11.25"/>
    <row r="484" s="13" customFormat="1" ht="11.25"/>
    <row r="485" s="13" customFormat="1" ht="11.25"/>
    <row r="486" s="13" customFormat="1" ht="11.25"/>
    <row r="487" s="13" customFormat="1" ht="11.25"/>
    <row r="488" s="13" customFormat="1" ht="11.25"/>
    <row r="489" s="13" customFormat="1" ht="11.25"/>
    <row r="490" s="13" customFormat="1" ht="11.25"/>
    <row r="491" s="13" customFormat="1" ht="11.25"/>
    <row r="492" s="13" customFormat="1" ht="11.25"/>
    <row r="493" s="13" customFormat="1" ht="11.25"/>
    <row r="494" s="13" customFormat="1" ht="11.25"/>
    <row r="495" s="13" customFormat="1" ht="11.25"/>
    <row r="496" s="13" customFormat="1" ht="11.25"/>
    <row r="497" s="13" customFormat="1" ht="11.25"/>
    <row r="498" s="13" customFormat="1" ht="11.25"/>
    <row r="499" s="13" customFormat="1" ht="11.25"/>
    <row r="500" s="13" customFormat="1" ht="11.25"/>
    <row r="501" s="13" customFormat="1" ht="11.25"/>
    <row r="502" s="13" customFormat="1" ht="11.25"/>
    <row r="503" s="13" customFormat="1" ht="11.25"/>
    <row r="504" s="13" customFormat="1" ht="11.25"/>
    <row r="505" s="13" customFormat="1" ht="11.25"/>
    <row r="506" s="13" customFormat="1" ht="11.25"/>
    <row r="507" s="13" customFormat="1" ht="11.25"/>
    <row r="508" s="13" customFormat="1" ht="11.25"/>
    <row r="509" s="13" customFormat="1" ht="11.25"/>
    <row r="510" s="13" customFormat="1" ht="11.25"/>
    <row r="511" s="13" customFormat="1" ht="11.25"/>
    <row r="512" s="13" customFormat="1" ht="11.25"/>
    <row r="513" s="13" customFormat="1" ht="11.25"/>
    <row r="514" s="13" customFormat="1" ht="11.25"/>
    <row r="515" s="13" customFormat="1" ht="11.25"/>
    <row r="516" s="13" customFormat="1" ht="11.25"/>
    <row r="517" s="13" customFormat="1" ht="11.25"/>
    <row r="518" s="13" customFormat="1" ht="11.25"/>
    <row r="519" s="13" customFormat="1" ht="11.25"/>
    <row r="520" s="13" customFormat="1" ht="11.25"/>
    <row r="521" s="13" customFormat="1" ht="11.25"/>
    <row r="522" s="13" customFormat="1" ht="11.25"/>
    <row r="523" s="13" customFormat="1" ht="11.25"/>
    <row r="524" s="13" customFormat="1" ht="11.25"/>
    <row r="525" s="13" customFormat="1" ht="11.25"/>
    <row r="526" s="13" customFormat="1" ht="11.25"/>
    <row r="527" s="13" customFormat="1" ht="11.25"/>
    <row r="528" s="13" customFormat="1" ht="11.25"/>
    <row r="529" s="13" customFormat="1" ht="11.25"/>
    <row r="530" s="13" customFormat="1" ht="11.25"/>
    <row r="531" s="13" customFormat="1" ht="11.25"/>
    <row r="532" s="13" customFormat="1" ht="11.25"/>
    <row r="533" s="13" customFormat="1" ht="11.25"/>
    <row r="534" s="13" customFormat="1" ht="11.25"/>
    <row r="535" s="13" customFormat="1" ht="11.25"/>
    <row r="536" s="13" customFormat="1" ht="11.25"/>
    <row r="537" s="13" customFormat="1" ht="11.25"/>
    <row r="538" s="13" customFormat="1" ht="11.25"/>
    <row r="539" s="13" customFormat="1" ht="11.25"/>
    <row r="540" s="13" customFormat="1" ht="11.25"/>
    <row r="541" s="13" customFormat="1" ht="11.25"/>
    <row r="542" s="13" customFormat="1" ht="11.25"/>
    <row r="543" s="13" customFormat="1" ht="11.25"/>
    <row r="544" s="13" customFormat="1" ht="11.25"/>
    <row r="545" s="13" customFormat="1" ht="11.25"/>
    <row r="546" s="13" customFormat="1" ht="11.25"/>
    <row r="547" s="13" customFormat="1" ht="11.25"/>
    <row r="548" s="13" customFormat="1" ht="11.25"/>
    <row r="549" s="13" customFormat="1" ht="11.25"/>
    <row r="550" s="13" customFormat="1" ht="11.25"/>
    <row r="551" s="13" customFormat="1" ht="11.25"/>
    <row r="552" s="13" customFormat="1" ht="11.25"/>
    <row r="553" s="13" customFormat="1" ht="11.25"/>
    <row r="554" s="13" customFormat="1" ht="11.25"/>
    <row r="555" s="13" customFormat="1" ht="11.25"/>
    <row r="556" s="13" customFormat="1" ht="11.25"/>
    <row r="557" s="13" customFormat="1" ht="11.25"/>
    <row r="558" s="13" customFormat="1" ht="11.25"/>
    <row r="559" s="13" customFormat="1" ht="11.25"/>
    <row r="560" s="13" customFormat="1" ht="11.25"/>
    <row r="561" s="13" customFormat="1" ht="11.25"/>
    <row r="562" s="13" customFormat="1" ht="11.25"/>
    <row r="563" s="13" customFormat="1" ht="11.25"/>
    <row r="564" s="13" customFormat="1" ht="11.25"/>
    <row r="565" s="13" customFormat="1" ht="11.25"/>
    <row r="566" s="13" customFormat="1" ht="11.25"/>
    <row r="567" s="13" customFormat="1" ht="11.25"/>
    <row r="568" s="13" customFormat="1" ht="11.25"/>
    <row r="569" s="13" customFormat="1" ht="11.25"/>
    <row r="570" s="13" customFormat="1" ht="11.25"/>
    <row r="571" s="13" customFormat="1" ht="11.25"/>
    <row r="572" s="13" customFormat="1" ht="11.25"/>
    <row r="573" s="13" customFormat="1" ht="11.25"/>
    <row r="574" s="13" customFormat="1" ht="11.25"/>
    <row r="575" s="13" customFormat="1" ht="11.25"/>
    <row r="576" s="13" customFormat="1" ht="11.25"/>
    <row r="577" s="13" customFormat="1" ht="11.25"/>
    <row r="578" s="13" customFormat="1" ht="11.25"/>
    <row r="579" s="13" customFormat="1" ht="11.25"/>
    <row r="580" s="13" customFormat="1" ht="11.25"/>
    <row r="581" s="13" customFormat="1" ht="11.25"/>
    <row r="582" s="13" customFormat="1" ht="11.25"/>
    <row r="583" s="13" customFormat="1" ht="11.25"/>
    <row r="584" s="13" customFormat="1" ht="11.25"/>
    <row r="585" s="13" customFormat="1" ht="11.25"/>
    <row r="586" s="13" customFormat="1" ht="11.25"/>
    <row r="587" s="13" customFormat="1" ht="11.25"/>
    <row r="588" s="13" customFormat="1" ht="11.25"/>
    <row r="589" s="13" customFormat="1" ht="11.25"/>
    <row r="590" s="13" customFormat="1" ht="11.25"/>
    <row r="591" s="13" customFormat="1" ht="11.25"/>
    <row r="592" s="13" customFormat="1" ht="11.25"/>
    <row r="593" s="13" customFormat="1" ht="11.25"/>
    <row r="594" s="13" customFormat="1" ht="11.25"/>
    <row r="595" s="13" customFormat="1" ht="11.25"/>
    <row r="596" s="13" customFormat="1" ht="11.25"/>
    <row r="597" s="13" customFormat="1" ht="11.25"/>
    <row r="598" s="13" customFormat="1" ht="11.25"/>
    <row r="599" s="13" customFormat="1" ht="11.25"/>
    <row r="600" s="13" customFormat="1" ht="11.25"/>
    <row r="601" s="13" customFormat="1" ht="11.25"/>
    <row r="602" s="13" customFormat="1" ht="11.25"/>
    <row r="603" s="13" customFormat="1" ht="11.25"/>
    <row r="604" s="13" customFormat="1" ht="11.25"/>
    <row r="605" s="13" customFormat="1" ht="11.25"/>
    <row r="606" s="13" customFormat="1" ht="11.25"/>
    <row r="607" s="13" customFormat="1" ht="11.25"/>
    <row r="608" s="13" customFormat="1" ht="11.25"/>
    <row r="609" s="13" customFormat="1" ht="11.25"/>
    <row r="610" s="13" customFormat="1" ht="11.25"/>
    <row r="611" s="13" customFormat="1" ht="11.25"/>
    <row r="612" s="13" customFormat="1" ht="11.25"/>
    <row r="613" s="13" customFormat="1" ht="11.25"/>
    <row r="614" s="13" customFormat="1" ht="11.25"/>
    <row r="615" s="13" customFormat="1" ht="11.25"/>
    <row r="616" s="13" customFormat="1" ht="11.25"/>
    <row r="617" s="13" customFormat="1" ht="11.25"/>
    <row r="618" s="13" customFormat="1" ht="11.25"/>
    <row r="619" s="13" customFormat="1" ht="11.25"/>
    <row r="620" s="13" customFormat="1" ht="11.25"/>
    <row r="621" s="13" customFormat="1" ht="11.25"/>
    <row r="622" s="13" customFormat="1" ht="11.25"/>
    <row r="623" s="13" customFormat="1" ht="11.25"/>
    <row r="624" s="13" customFormat="1" ht="11.25"/>
    <row r="625" s="13" customFormat="1" ht="11.25"/>
    <row r="626" s="13" customFormat="1" ht="11.25"/>
    <row r="627" s="13" customFormat="1" ht="11.25"/>
    <row r="628" s="13" customFormat="1" ht="11.25"/>
    <row r="629" s="13" customFormat="1" ht="11.25"/>
    <row r="630" s="13" customFormat="1" ht="11.25"/>
    <row r="631" s="13" customFormat="1" ht="11.25"/>
    <row r="632" s="13" customFormat="1" ht="11.25"/>
    <row r="633" s="13" customFormat="1" ht="11.25"/>
    <row r="634" s="13" customFormat="1" ht="11.25"/>
    <row r="635" s="13" customFormat="1" ht="11.25"/>
    <row r="636" s="13" customFormat="1" ht="11.25"/>
    <row r="637" s="13" customFormat="1" ht="11.25"/>
    <row r="638" s="13" customFormat="1" ht="11.25"/>
    <row r="639" s="13" customFormat="1" ht="11.25"/>
    <row r="640" s="13" customFormat="1" ht="11.25"/>
    <row r="641" s="13" customFormat="1" ht="11.25"/>
    <row r="642" s="13" customFormat="1" ht="11.25"/>
    <row r="643" s="13" customFormat="1" ht="11.25"/>
    <row r="644" s="13" customFormat="1" ht="11.25"/>
    <row r="645" s="13" customFormat="1" ht="11.25"/>
    <row r="646" s="13" customFormat="1" ht="11.25"/>
    <row r="647" s="13" customFormat="1" ht="11.25"/>
    <row r="648" s="13" customFormat="1" ht="11.25"/>
    <row r="649" s="13" customFormat="1" ht="11.25"/>
    <row r="650" s="13" customFormat="1" ht="11.25"/>
    <row r="651" s="13" customFormat="1" ht="11.25"/>
    <row r="652" s="13" customFormat="1" ht="11.25"/>
    <row r="653" s="13" customFormat="1" ht="11.25"/>
    <row r="654" s="13" customFormat="1" ht="11.25"/>
    <row r="655" s="13" customFormat="1" ht="11.25"/>
    <row r="656" s="13" customFormat="1" ht="11.25"/>
    <row r="657" s="13" customFormat="1" ht="11.25"/>
    <row r="658" s="13" customFormat="1" ht="11.25"/>
    <row r="659" s="13" customFormat="1" ht="11.25"/>
    <row r="660" s="13" customFormat="1" ht="11.25"/>
    <row r="661" s="13" customFormat="1" ht="11.25"/>
    <row r="662" s="13" customFormat="1" ht="11.25"/>
    <row r="663" s="13" customFormat="1" ht="11.25"/>
    <row r="664" s="13" customFormat="1" ht="11.25"/>
    <row r="665" s="13" customFormat="1" ht="11.25"/>
    <row r="666" s="13" customFormat="1" ht="11.25"/>
    <row r="667" s="13" customFormat="1" ht="11.25"/>
    <row r="668" s="13" customFormat="1" ht="11.25"/>
    <row r="669" s="13" customFormat="1" ht="11.25"/>
    <row r="670" s="13" customFormat="1" ht="11.25"/>
    <row r="671" s="13" customFormat="1" ht="11.25"/>
    <row r="672" s="13" customFormat="1" ht="11.25"/>
    <row r="673" s="13" customFormat="1" ht="11.25"/>
    <row r="674" s="13" customFormat="1" ht="11.25"/>
    <row r="675" s="13" customFormat="1" ht="11.25"/>
    <row r="676" s="13" customFormat="1" ht="11.25"/>
    <row r="677" s="13" customFormat="1" ht="11.25"/>
    <row r="678" s="13" customFormat="1" ht="11.25"/>
    <row r="679" s="13" customFormat="1" ht="11.25"/>
    <row r="680" s="13" customFormat="1" ht="11.25"/>
    <row r="681" s="13" customFormat="1" ht="11.25"/>
    <row r="682" s="13" customFormat="1" ht="11.25"/>
    <row r="683" s="13" customFormat="1" ht="11.25"/>
    <row r="684" s="13" customFormat="1" ht="11.25"/>
    <row r="685" s="13" customFormat="1" ht="11.25"/>
    <row r="686" s="13" customFormat="1" ht="11.25"/>
    <row r="687" s="13" customFormat="1" ht="11.25"/>
    <row r="688" s="13" customFormat="1" ht="11.25"/>
    <row r="689" s="13" customFormat="1" ht="11.25"/>
    <row r="690" s="13" customFormat="1" ht="11.25"/>
    <row r="691" s="13" customFormat="1" ht="11.25"/>
    <row r="692" s="13" customFormat="1" ht="11.25"/>
    <row r="693" s="13" customFormat="1" ht="11.25"/>
    <row r="694" s="13" customFormat="1" ht="11.25"/>
    <row r="695" s="13" customFormat="1" ht="11.25"/>
    <row r="696" s="13" customFormat="1" ht="11.25"/>
    <row r="697" s="13" customFormat="1" ht="11.25"/>
    <row r="698" s="13" customFormat="1" ht="11.25"/>
    <row r="699" s="13" customFormat="1" ht="11.25"/>
    <row r="700" s="13" customFormat="1" ht="11.25"/>
    <row r="701" s="13" customFormat="1" ht="11.25"/>
    <row r="702" s="13" customFormat="1" ht="11.25"/>
    <row r="703" s="13" customFormat="1" ht="11.25"/>
    <row r="704" s="13" customFormat="1" ht="11.25"/>
    <row r="705" s="13" customFormat="1" ht="11.25"/>
    <row r="706" s="13" customFormat="1" ht="11.25"/>
    <row r="707" s="13" customFormat="1" ht="11.25"/>
    <row r="708" s="13" customFormat="1" ht="11.25"/>
    <row r="709" s="13" customFormat="1" ht="11.25"/>
    <row r="710" s="13" customFormat="1" ht="11.25"/>
    <row r="711" s="13" customFormat="1" ht="11.25"/>
    <row r="712" s="13" customFormat="1" ht="11.25"/>
    <row r="713" s="13" customFormat="1" ht="11.25"/>
    <row r="714" s="13" customFormat="1" ht="11.25"/>
    <row r="715" s="13" customFormat="1" ht="11.25"/>
    <row r="716" s="13" customFormat="1" ht="11.25"/>
    <row r="717" s="13" customFormat="1" ht="11.25"/>
    <row r="718" s="13" customFormat="1" ht="11.25"/>
    <row r="719" s="13" customFormat="1" ht="11.25"/>
    <row r="720" s="13" customFormat="1" ht="11.25"/>
    <row r="721" s="13" customFormat="1" ht="11.25"/>
    <row r="722" s="13" customFormat="1" ht="11.25"/>
    <row r="723" s="13" customFormat="1" ht="11.25"/>
    <row r="724" s="13" customFormat="1" ht="11.25"/>
    <row r="725" s="13" customFormat="1" ht="11.25"/>
    <row r="726" s="13" customFormat="1" ht="11.25"/>
    <row r="727" s="13" customFormat="1" ht="11.25"/>
    <row r="728" s="13" customFormat="1" ht="11.25"/>
    <row r="729" s="13" customFormat="1" ht="11.25"/>
    <row r="730" s="13" customFormat="1" ht="11.25"/>
    <row r="731" s="13" customFormat="1" ht="11.25"/>
    <row r="732" s="13" customFormat="1" ht="11.25"/>
    <row r="733" s="13" customFormat="1" ht="11.25"/>
    <row r="734" s="13" customFormat="1" ht="11.25"/>
    <row r="735" s="13" customFormat="1" ht="11.25"/>
    <row r="736" s="13" customFormat="1" ht="11.25"/>
    <row r="737" s="13" customFormat="1" ht="11.25"/>
    <row r="738" s="13" customFormat="1" ht="11.25"/>
    <row r="739" s="13" customFormat="1" ht="11.25"/>
    <row r="740" s="13" customFormat="1" ht="11.25"/>
    <row r="741" s="13" customFormat="1" ht="11.25"/>
    <row r="742" s="13" customFormat="1" ht="11.25"/>
    <row r="743" s="13" customFormat="1" ht="11.25"/>
    <row r="744" s="13" customFormat="1" ht="11.25"/>
    <row r="745" s="13" customFormat="1" ht="11.25"/>
    <row r="746" s="13" customFormat="1" ht="11.25"/>
    <row r="747" s="13" customFormat="1" ht="11.25"/>
    <row r="748" s="13" customFormat="1" ht="11.25"/>
    <row r="749" s="13" customFormat="1" ht="11.25"/>
    <row r="750" s="13" customFormat="1" ht="11.25"/>
    <row r="751" s="13" customFormat="1" ht="11.25"/>
    <row r="752" s="13" customFormat="1" ht="11.25"/>
    <row r="753" s="13" customFormat="1" ht="11.25"/>
    <row r="754" s="13" customFormat="1" ht="11.25"/>
    <row r="755" s="13" customFormat="1" ht="11.25"/>
    <row r="756" s="13" customFormat="1" ht="11.25"/>
    <row r="757" s="13" customFormat="1" ht="11.25"/>
    <row r="758" s="13" customFormat="1" ht="11.25"/>
    <row r="759" s="13" customFormat="1" ht="11.25"/>
    <row r="760" s="13" customFormat="1" ht="11.25"/>
    <row r="761" s="13" customFormat="1" ht="11.25"/>
    <row r="762" s="13" customFormat="1" ht="11.25"/>
    <row r="763" s="13" customFormat="1" ht="11.25"/>
    <row r="764" s="13" customFormat="1" ht="11.25"/>
    <row r="765" s="13" customFormat="1" ht="11.25"/>
    <row r="766" s="13" customFormat="1" ht="11.25"/>
    <row r="767" s="13" customFormat="1" ht="11.25"/>
    <row r="768" s="13" customFormat="1" ht="11.25"/>
    <row r="769" s="13" customFormat="1" ht="11.25"/>
    <row r="770" s="13" customFormat="1" ht="11.25"/>
    <row r="771" s="13" customFormat="1" ht="11.25"/>
    <row r="772" s="13" customFormat="1" ht="11.25"/>
    <row r="773" s="13" customFormat="1" ht="11.25"/>
    <row r="774" s="13" customFormat="1" ht="11.25"/>
    <row r="775" s="13" customFormat="1" ht="11.25"/>
    <row r="776" s="13" customFormat="1" ht="11.25"/>
    <row r="777" s="13" customFormat="1" ht="11.25"/>
    <row r="778" s="13" customFormat="1" ht="11.25"/>
    <row r="779" s="13" customFormat="1" ht="11.25"/>
    <row r="780" s="13" customFormat="1" ht="11.25"/>
    <row r="781" s="13" customFormat="1" ht="11.25"/>
    <row r="782" s="13" customFormat="1" ht="11.25"/>
    <row r="783" s="13" customFormat="1" ht="11.25"/>
    <row r="784" s="13" customFormat="1" ht="11.25"/>
    <row r="785" s="13" customFormat="1" ht="11.25"/>
    <row r="786" s="13" customFormat="1" ht="11.25"/>
    <row r="787" s="13" customFormat="1" ht="11.25"/>
    <row r="788" s="13" customFormat="1" ht="11.25"/>
    <row r="789" s="13" customFormat="1" ht="11.25"/>
    <row r="790" s="13" customFormat="1" ht="11.25"/>
    <row r="791" s="13" customFormat="1" ht="11.25"/>
    <row r="792" s="13" customFormat="1" ht="11.25"/>
    <row r="793" s="13" customFormat="1" ht="11.25"/>
    <row r="794" s="13" customFormat="1" ht="11.25"/>
    <row r="795" s="13" customFormat="1" ht="11.25"/>
    <row r="796" s="13" customFormat="1" ht="11.25"/>
    <row r="797" s="13" customFormat="1" ht="11.25"/>
    <row r="798" s="13" customFormat="1" ht="11.25"/>
    <row r="799" s="13" customFormat="1" ht="11.25"/>
    <row r="800" s="13" customFormat="1" ht="11.25"/>
    <row r="801" s="13" customFormat="1" ht="11.25"/>
    <row r="802" s="13" customFormat="1" ht="11.25"/>
    <row r="803" s="13" customFormat="1" ht="11.25"/>
    <row r="804" s="13" customFormat="1" ht="11.25"/>
    <row r="805" s="13" customFormat="1" ht="11.25"/>
    <row r="806" s="13" customFormat="1" ht="11.25"/>
    <row r="807" s="13" customFormat="1" ht="11.25"/>
    <row r="808" s="13" customFormat="1" ht="11.25"/>
    <row r="809" s="13" customFormat="1" ht="11.25"/>
    <row r="810" s="13" customFormat="1" ht="11.25"/>
    <row r="811" s="13" customFormat="1" ht="11.25"/>
    <row r="812" s="13" customFormat="1" ht="11.25"/>
    <row r="813" s="13" customFormat="1" ht="11.25"/>
    <row r="814" s="13" customFormat="1" ht="11.25"/>
    <row r="815" s="13" customFormat="1" ht="11.25"/>
    <row r="816" s="13" customFormat="1" ht="11.25"/>
    <row r="817" s="13" customFormat="1" ht="11.25"/>
    <row r="818" s="13" customFormat="1" ht="11.25"/>
    <row r="819" s="13" customFormat="1" ht="11.25"/>
    <row r="820" s="13" customFormat="1" ht="11.25"/>
    <row r="821" s="13" customFormat="1" ht="11.25"/>
    <row r="822" s="13" customFormat="1" ht="11.25"/>
    <row r="823" s="13" customFormat="1" ht="11.25"/>
    <row r="824" s="13" customFormat="1" ht="11.25"/>
    <row r="825" s="13" customFormat="1" ht="11.25"/>
    <row r="826" s="13" customFormat="1" ht="11.25"/>
    <row r="827" s="13" customFormat="1" ht="11.25"/>
    <row r="828" s="13" customFormat="1" ht="11.25"/>
    <row r="829" s="13" customFormat="1" ht="11.25"/>
    <row r="830" s="13" customFormat="1" ht="11.25"/>
    <row r="831" s="13" customFormat="1" ht="11.25"/>
    <row r="832" s="13" customFormat="1" ht="11.25"/>
    <row r="833" s="13" customFormat="1" ht="11.25"/>
    <row r="834" s="13" customFormat="1" ht="11.25"/>
    <row r="835" s="13" customFormat="1" ht="11.25"/>
    <row r="836" s="13" customFormat="1" ht="11.25"/>
    <row r="837" s="13" customFormat="1" ht="11.25"/>
    <row r="838" s="13" customFormat="1" ht="11.25"/>
    <row r="839" s="13" customFormat="1" ht="11.25"/>
    <row r="840" s="13" customFormat="1" ht="11.25"/>
    <row r="841" s="13" customFormat="1" ht="11.25"/>
    <row r="842" s="13" customFormat="1" ht="11.25"/>
    <row r="843" s="13" customFormat="1" ht="11.25"/>
    <row r="844" s="13" customFormat="1" ht="11.25"/>
    <row r="845" s="13" customFormat="1" ht="11.25"/>
    <row r="846" s="13" customFormat="1" ht="11.25"/>
    <row r="847" s="13" customFormat="1" ht="11.25"/>
    <row r="848" s="13" customFormat="1" ht="11.25"/>
    <row r="849" s="13" customFormat="1" ht="11.25"/>
    <row r="850" s="13" customFormat="1" ht="11.25"/>
    <row r="851" s="13" customFormat="1" ht="11.25"/>
    <row r="852" s="13" customFormat="1" ht="11.25"/>
    <row r="853" s="13" customFormat="1" ht="11.25"/>
    <row r="854" s="13" customFormat="1" ht="11.25"/>
    <row r="855" s="13" customFormat="1" ht="11.25"/>
    <row r="856" s="13" customFormat="1" ht="11.25"/>
    <row r="857" s="13" customFormat="1" ht="11.25"/>
    <row r="858" s="13" customFormat="1" ht="11.25"/>
    <row r="859" s="13" customFormat="1" ht="11.25"/>
    <row r="860" s="13" customFormat="1" ht="11.25"/>
    <row r="861" s="13" customFormat="1" ht="11.25"/>
    <row r="862" s="13" customFormat="1" ht="11.25"/>
    <row r="863" s="13" customFormat="1" ht="11.25"/>
    <row r="864" s="13" customFormat="1" ht="11.25"/>
    <row r="865" s="13" customFormat="1" ht="11.25"/>
    <row r="866" s="13" customFormat="1" ht="11.25"/>
    <row r="867" s="13" customFormat="1" ht="11.25"/>
    <row r="868" s="13" customFormat="1" ht="11.25"/>
    <row r="869" s="13" customFormat="1" ht="11.25"/>
    <row r="870" s="13" customFormat="1" ht="11.25"/>
    <row r="871" s="13" customFormat="1" ht="11.25"/>
    <row r="872" s="13" customFormat="1" ht="11.25"/>
    <row r="873" s="13" customFormat="1" ht="11.25"/>
    <row r="874" s="13" customFormat="1" ht="11.25"/>
    <row r="875" s="13" customFormat="1" ht="11.25"/>
    <row r="876" s="13" customFormat="1" ht="11.25"/>
    <row r="877" s="13" customFormat="1" ht="11.25"/>
    <row r="878" s="13" customFormat="1" ht="11.25"/>
    <row r="879" s="13" customFormat="1" ht="11.25"/>
    <row r="880" s="13" customFormat="1" ht="11.25"/>
    <row r="881" s="13" customFormat="1" ht="11.25"/>
    <row r="882" s="13" customFormat="1" ht="11.25"/>
    <row r="883" s="13" customFormat="1" ht="11.25"/>
    <row r="884" s="13" customFormat="1" ht="11.25"/>
    <row r="885" s="13" customFormat="1" ht="11.25"/>
    <row r="886" s="13" customFormat="1" ht="11.25"/>
    <row r="887" s="13" customFormat="1" ht="11.25"/>
    <row r="888" s="13" customFormat="1" ht="11.25"/>
    <row r="889" s="13" customFormat="1" ht="11.25"/>
    <row r="890" s="13" customFormat="1" ht="11.25"/>
    <row r="891" s="13" customFormat="1" ht="11.25"/>
    <row r="892" s="13" customFormat="1" ht="11.25"/>
    <row r="893" s="13" customFormat="1" ht="11.25"/>
    <row r="894" s="13" customFormat="1" ht="11.25"/>
    <row r="895" s="13" customFormat="1" ht="11.25"/>
    <row r="896" s="13" customFormat="1" ht="11.25"/>
    <row r="897" s="13" customFormat="1" ht="11.25"/>
    <row r="898" s="13" customFormat="1" ht="11.25"/>
    <row r="899" s="13" customFormat="1" ht="11.25"/>
    <row r="900" s="13" customFormat="1" ht="11.25"/>
    <row r="901" s="13" customFormat="1" ht="11.25"/>
    <row r="902" s="13" customFormat="1" ht="11.25"/>
    <row r="903" s="13" customFormat="1" ht="11.25"/>
    <row r="904" s="13" customFormat="1" ht="11.25"/>
    <row r="905" s="13" customFormat="1" ht="11.25"/>
    <row r="906" s="13" customFormat="1" ht="11.25"/>
    <row r="907" s="13" customFormat="1" ht="11.25"/>
    <row r="908" s="13" customFormat="1" ht="11.25"/>
    <row r="909" s="13" customFormat="1" ht="11.25"/>
    <row r="910" s="13" customFormat="1" ht="11.25"/>
    <row r="911" s="13" customFormat="1" ht="11.25"/>
    <row r="912" s="13" customFormat="1" ht="11.25"/>
    <row r="913" s="13" customFormat="1" ht="11.25"/>
    <row r="914" s="13" customFormat="1" ht="11.25"/>
    <row r="915" s="13" customFormat="1" ht="11.25"/>
    <row r="916" s="13" customFormat="1" ht="11.25"/>
    <row r="917" s="13" customFormat="1" ht="11.25"/>
    <row r="918" s="13" customFormat="1" ht="11.25"/>
    <row r="919" s="13" customFormat="1" ht="11.25"/>
    <row r="920" s="13" customFormat="1" ht="11.25"/>
    <row r="921" s="13" customFormat="1" ht="11.25"/>
    <row r="922" s="13" customFormat="1" ht="11.25"/>
    <row r="923" s="13" customFormat="1" ht="11.25"/>
    <row r="924" s="13" customFormat="1" ht="11.25"/>
    <row r="925" s="13" customFormat="1" ht="11.25"/>
    <row r="926" s="13" customFormat="1" ht="11.25"/>
    <row r="927" s="13" customFormat="1" ht="11.25"/>
    <row r="928" s="13" customFormat="1" ht="11.25"/>
    <row r="929" s="13" customFormat="1" ht="11.25"/>
    <row r="930" s="13" customFormat="1" ht="11.25"/>
    <row r="931" s="13" customFormat="1" ht="11.25"/>
    <row r="932" s="13" customFormat="1" ht="11.25"/>
    <row r="933" s="13" customFormat="1" ht="11.25"/>
    <row r="934" s="13" customFormat="1" ht="11.25"/>
    <row r="935" s="13" customFormat="1" ht="11.25"/>
    <row r="936" s="13" customFormat="1" ht="11.25"/>
    <row r="937" s="13" customFormat="1" ht="11.25"/>
    <row r="938" s="13" customFormat="1" ht="11.25"/>
    <row r="939" s="13" customFormat="1" ht="11.25"/>
    <row r="940" s="13" customFormat="1" ht="11.25"/>
    <row r="941" s="13" customFormat="1" ht="11.25"/>
    <row r="942" s="13" customFormat="1" ht="11.25"/>
    <row r="943" s="13" customFormat="1" ht="11.25"/>
    <row r="944" s="13" customFormat="1" ht="11.25"/>
    <row r="945" s="13" customFormat="1" ht="11.25"/>
    <row r="946" s="13" customFormat="1" ht="11.25"/>
    <row r="947" s="13" customFormat="1" ht="11.25"/>
    <row r="948" s="13" customFormat="1" ht="11.25"/>
    <row r="949" s="13" customFormat="1" ht="11.25"/>
    <row r="950" s="13" customFormat="1" ht="11.25"/>
    <row r="951" s="13" customFormat="1" ht="11.25"/>
    <row r="952" s="13" customFormat="1" ht="11.25"/>
    <row r="953" s="13" customFormat="1" ht="11.25"/>
    <row r="954" s="13" customFormat="1" ht="11.25"/>
    <row r="955" s="13" customFormat="1" ht="11.25"/>
    <row r="956" s="13" customFormat="1" ht="11.25"/>
    <row r="957" s="13" customFormat="1" ht="11.25"/>
    <row r="958" s="13" customFormat="1" ht="11.25"/>
    <row r="959" s="13" customFormat="1" ht="11.25"/>
    <row r="960" s="13" customFormat="1" ht="11.25"/>
    <row r="961" s="13" customFormat="1" ht="11.25"/>
    <row r="962" s="13" customFormat="1" ht="11.25"/>
    <row r="963" s="13" customFormat="1" ht="11.25"/>
    <row r="964" s="13" customFormat="1" ht="11.25"/>
    <row r="965" s="13" customFormat="1" ht="11.25"/>
    <row r="966" s="13" customFormat="1" ht="11.25"/>
    <row r="967" s="13" customFormat="1" ht="11.25"/>
    <row r="968" s="13" customFormat="1" ht="11.25"/>
    <row r="969" s="13" customFormat="1" ht="11.25"/>
    <row r="970" s="13" customFormat="1" ht="11.25"/>
    <row r="971" s="13" customFormat="1" ht="11.25"/>
    <row r="972" s="13" customFormat="1" ht="11.25"/>
    <row r="973" s="13" customFormat="1" ht="11.25"/>
    <row r="974" s="13" customFormat="1" ht="11.25"/>
    <row r="975" s="13" customFormat="1" ht="11.25"/>
    <row r="976" s="13" customFormat="1" ht="11.25"/>
    <row r="977" s="13" customFormat="1" ht="11.25"/>
    <row r="978" s="13" customFormat="1" ht="11.25"/>
    <row r="979" s="13" customFormat="1" ht="11.25"/>
    <row r="980" s="13" customFormat="1" ht="11.25"/>
    <row r="981" s="13" customFormat="1" ht="11.25"/>
    <row r="982" s="13" customFormat="1" ht="11.25"/>
    <row r="983" s="13" customFormat="1" ht="11.25"/>
    <row r="984" s="13" customFormat="1" ht="11.25"/>
    <row r="985" s="13" customFormat="1" ht="11.25"/>
    <row r="986" s="13" customFormat="1" ht="11.25"/>
    <row r="987" s="13" customFormat="1" ht="11.25"/>
    <row r="988" s="13" customFormat="1" ht="11.25"/>
    <row r="989" s="13" customFormat="1" ht="11.25"/>
    <row r="990" s="13" customFormat="1" ht="11.25"/>
    <row r="991" s="13" customFormat="1" ht="11.25"/>
    <row r="992" s="13" customFormat="1" ht="11.25"/>
    <row r="993" s="13" customFormat="1" ht="11.25"/>
    <row r="994" s="13" customFormat="1" ht="11.25"/>
    <row r="995" s="13" customFormat="1" ht="11.25"/>
    <row r="996" s="13" customFormat="1" ht="11.25"/>
    <row r="997" s="13" customFormat="1" ht="11.25"/>
    <row r="998" s="13" customFormat="1" ht="11.25"/>
    <row r="999" s="13" customFormat="1" ht="11.25"/>
    <row r="1000" s="13" customFormat="1" ht="11.25"/>
    <row r="1001" s="13" customFormat="1" ht="11.25"/>
    <row r="1002" s="13" customFormat="1" ht="11.25"/>
    <row r="1003" s="13" customFormat="1" ht="11.25"/>
    <row r="1004" s="13" customFormat="1" ht="11.25"/>
    <row r="1005" s="13" customFormat="1" ht="11.25"/>
    <row r="1006" s="13" customFormat="1" ht="11.25"/>
    <row r="1007" s="13" customFormat="1" ht="11.25"/>
    <row r="1008" s="13" customFormat="1" ht="11.25"/>
    <row r="1009" s="13" customFormat="1" ht="11.25"/>
    <row r="1010" s="13" customFormat="1" ht="11.25"/>
    <row r="1011" s="13" customFormat="1" ht="11.25"/>
    <row r="1012" s="13" customFormat="1" ht="11.25"/>
    <row r="1013" s="13" customFormat="1" ht="11.25"/>
    <row r="1014" s="13" customFormat="1" ht="11.25"/>
    <row r="1015" s="13" customFormat="1" ht="11.25"/>
    <row r="1016" s="13" customFormat="1" ht="11.25"/>
    <row r="1017" s="13" customFormat="1" ht="11.25"/>
    <row r="1018" s="13" customFormat="1" ht="11.25"/>
    <row r="1019" s="13" customFormat="1" ht="11.25"/>
    <row r="1020" s="13" customFormat="1" ht="11.25"/>
    <row r="1021" s="13" customFormat="1" ht="11.25"/>
    <row r="1022" s="13" customFormat="1" ht="11.25"/>
    <row r="1023" s="13" customFormat="1" ht="11.25"/>
    <row r="1024" s="13" customFormat="1" ht="11.25"/>
    <row r="1025" s="13" customFormat="1" ht="11.25"/>
    <row r="1026" s="13" customFormat="1" ht="11.25"/>
    <row r="1027" s="13" customFormat="1" ht="11.25"/>
    <row r="1028" s="13" customFormat="1" ht="11.25"/>
    <row r="1029" s="13" customFormat="1" ht="11.25"/>
    <row r="1030" s="13" customFormat="1" ht="11.25"/>
    <row r="1031" s="13" customFormat="1" ht="11.25"/>
    <row r="1032" s="13" customFormat="1" ht="11.25"/>
    <row r="1033" s="13" customFormat="1" ht="11.25"/>
    <row r="1034" s="13" customFormat="1" ht="11.25"/>
    <row r="1035" s="13" customFormat="1" ht="11.25"/>
    <row r="1036" s="13" customFormat="1" ht="11.25"/>
    <row r="1037" s="13" customFormat="1" ht="11.25"/>
    <row r="1038" s="13" customFormat="1" ht="11.25"/>
    <row r="1039" s="13" customFormat="1" ht="11.25"/>
    <row r="1040" s="13" customFormat="1" ht="11.25"/>
    <row r="1041" s="13" customFormat="1" ht="11.25"/>
    <row r="1042" s="13" customFormat="1" ht="11.25"/>
    <row r="1043" s="13" customFormat="1" ht="11.25"/>
    <row r="1044" s="13" customFormat="1" ht="11.25"/>
    <row r="1045" s="13" customFormat="1" ht="11.25"/>
    <row r="1046" s="13" customFormat="1" ht="11.25"/>
    <row r="1047" s="13" customFormat="1" ht="11.25"/>
    <row r="1048" s="13" customFormat="1" ht="11.25"/>
    <row r="1049" s="13" customFormat="1" ht="11.25"/>
    <row r="1050" s="13" customFormat="1" ht="11.25"/>
    <row r="1051" s="13" customFormat="1" ht="11.25"/>
    <row r="1052" s="13" customFormat="1" ht="11.25"/>
    <row r="1053" s="13" customFormat="1" ht="11.25"/>
    <row r="1054" s="13" customFormat="1" ht="11.25"/>
    <row r="1055" s="13" customFormat="1" ht="11.25"/>
    <row r="1056" s="13" customFormat="1" ht="11.25"/>
    <row r="1057" s="13" customFormat="1" ht="11.25"/>
    <row r="1058" s="13" customFormat="1" ht="11.25"/>
    <row r="1059" s="13" customFormat="1" ht="11.25"/>
    <row r="1060" s="13" customFormat="1" ht="11.25"/>
    <row r="1061" s="13" customFormat="1" ht="11.25"/>
    <row r="1062" s="13" customFormat="1" ht="11.25"/>
    <row r="1063" s="13" customFormat="1" ht="11.25"/>
    <row r="1064" s="13" customFormat="1" ht="11.25"/>
    <row r="1065" s="13" customFormat="1" ht="11.25"/>
    <row r="1066" s="13" customFormat="1" ht="11.25"/>
    <row r="1067" s="13" customFormat="1" ht="11.25"/>
    <row r="1068" s="13" customFormat="1" ht="11.25"/>
    <row r="1069" s="13" customFormat="1" ht="11.25"/>
    <row r="1070" s="13" customFormat="1" ht="11.25"/>
    <row r="1071" s="13" customFormat="1" ht="11.25"/>
    <row r="1072" s="13" customFormat="1" ht="11.25"/>
    <row r="1073" s="13" customFormat="1" ht="11.25"/>
    <row r="1074" s="13" customFormat="1" ht="11.25"/>
    <row r="1075" s="13" customFormat="1" ht="11.25"/>
    <row r="1076" s="13" customFormat="1" ht="11.25"/>
    <row r="1077" s="13" customFormat="1" ht="11.25"/>
    <row r="1078" s="13" customFormat="1" ht="11.25"/>
    <row r="1079" s="13" customFormat="1" ht="11.25"/>
    <row r="1080" s="13" customFormat="1" ht="11.25"/>
    <row r="1081" s="13" customFormat="1" ht="11.25"/>
    <row r="1082" s="13" customFormat="1" ht="11.25"/>
    <row r="1083" s="13" customFormat="1" ht="11.25"/>
    <row r="1084" s="13" customFormat="1" ht="11.25"/>
    <row r="1085" s="13" customFormat="1" ht="11.25"/>
    <row r="1086" s="13" customFormat="1" ht="11.25"/>
    <row r="1087" s="13" customFormat="1" ht="11.25"/>
    <row r="1088" s="13" customFormat="1" ht="11.25"/>
    <row r="1089" s="13" customFormat="1" ht="11.25"/>
    <row r="1090" s="13" customFormat="1" ht="11.25"/>
    <row r="1091" s="13" customFormat="1" ht="11.25"/>
    <row r="1092" s="13" customFormat="1" ht="11.25"/>
    <row r="1093" s="13" customFormat="1" ht="11.25"/>
    <row r="1094" s="13" customFormat="1" ht="11.25"/>
    <row r="1095" s="13" customFormat="1" ht="11.25"/>
    <row r="1096" s="13" customFormat="1" ht="11.25"/>
    <row r="1097" s="13" customFormat="1" ht="11.25"/>
    <row r="1098" s="13" customFormat="1" ht="11.25"/>
    <row r="1099" s="13" customFormat="1" ht="11.25"/>
    <row r="1100" s="13" customFormat="1" ht="11.25"/>
    <row r="1101" s="13" customFormat="1" ht="11.25"/>
    <row r="1102" s="13" customFormat="1" ht="11.25"/>
    <row r="1103" s="13" customFormat="1" ht="11.25"/>
    <row r="1104" s="13" customFormat="1" ht="11.25"/>
    <row r="1105" s="13" customFormat="1" ht="11.25"/>
    <row r="1106" s="13" customFormat="1" ht="11.25"/>
    <row r="1107" s="13" customFormat="1" ht="11.25"/>
    <row r="1108" s="13" customFormat="1" ht="11.25"/>
    <row r="1109" s="13" customFormat="1" ht="11.25"/>
    <row r="1110" s="13" customFormat="1" ht="11.25"/>
    <row r="1111" s="13" customFormat="1" ht="11.25"/>
    <row r="1112" s="13" customFormat="1" ht="11.25"/>
    <row r="1113" s="13" customFormat="1" ht="11.25"/>
    <row r="1114" s="13" customFormat="1" ht="11.25"/>
    <row r="1115" s="13" customFormat="1" ht="11.25"/>
    <row r="1116" s="13" customFormat="1" ht="11.25"/>
    <row r="1117" s="13" customFormat="1" ht="11.25"/>
    <row r="1118" s="13" customFormat="1" ht="11.25"/>
    <row r="1119" s="13" customFormat="1" ht="11.25"/>
    <row r="1120" s="13" customFormat="1" ht="11.25"/>
    <row r="1121" s="13" customFormat="1" ht="11.25"/>
    <row r="1122" s="13" customFormat="1" ht="11.25"/>
    <row r="1123" s="13" customFormat="1" ht="11.25"/>
    <row r="1124" s="13" customFormat="1" ht="11.25"/>
    <row r="1125" s="13" customFormat="1" ht="11.25"/>
    <row r="1126" s="13" customFormat="1" ht="11.25"/>
    <row r="1127" s="13" customFormat="1" ht="11.25"/>
    <row r="1128" s="13" customFormat="1" ht="11.25"/>
    <row r="1129" s="13" customFormat="1" ht="11.25"/>
    <row r="1130" s="13" customFormat="1" ht="11.25"/>
    <row r="1131" s="13" customFormat="1" ht="11.25"/>
    <row r="1132" s="13" customFormat="1" ht="11.25"/>
    <row r="1133" s="13" customFormat="1" ht="11.25"/>
    <row r="1134" s="13" customFormat="1" ht="11.25"/>
    <row r="1135" s="13" customFormat="1" ht="11.25"/>
    <row r="1136" s="13" customFormat="1" ht="11.25"/>
    <row r="1137" s="13" customFormat="1" ht="11.25"/>
    <row r="1138" s="13" customFormat="1" ht="11.25"/>
    <row r="1139" s="13" customFormat="1" ht="11.25"/>
    <row r="1140" s="13" customFormat="1" ht="11.25"/>
    <row r="1141" s="13" customFormat="1" ht="11.25"/>
    <row r="1142" s="13" customFormat="1" ht="11.25"/>
    <row r="1143" s="13" customFormat="1" ht="11.25"/>
    <row r="1144" s="13" customFormat="1" ht="11.25"/>
    <row r="1145" s="13" customFormat="1" ht="11.25"/>
    <row r="1146" s="13" customFormat="1" ht="11.25"/>
    <row r="1147" s="13" customFormat="1" ht="11.25"/>
    <row r="1148" s="13" customFormat="1" ht="11.25"/>
    <row r="1149" s="13" customFormat="1" ht="11.25"/>
    <row r="1150" s="13" customFormat="1" ht="11.25"/>
    <row r="1151" s="13" customFormat="1" ht="11.25"/>
    <row r="1152" s="13" customFormat="1" ht="11.25"/>
    <row r="1153" s="13" customFormat="1" ht="11.25"/>
  </sheetData>
  <sheetProtection/>
  <mergeCells count="13">
    <mergeCell ref="A18:I18"/>
    <mergeCell ref="A24:B24"/>
    <mergeCell ref="C3:G3"/>
    <mergeCell ref="H10:H11"/>
    <mergeCell ref="I10:I11"/>
    <mergeCell ref="A16:B16"/>
    <mergeCell ref="A1:I1"/>
    <mergeCell ref="A12:I12"/>
    <mergeCell ref="D10:F10"/>
    <mergeCell ref="A10:A11"/>
    <mergeCell ref="B10:B11"/>
    <mergeCell ref="C10:C11"/>
    <mergeCell ref="G10:G11"/>
  </mergeCells>
  <printOptions horizontalCentered="1" verticalCentered="1"/>
  <pageMargins left="0.3937007874015748" right="0.3937007874015748" top="1.5748031496062993" bottom="1.1811023622047245" header="0" footer="0.3937007874015748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1"/>
  <sheetViews>
    <sheetView showGridLines="0" zoomScalePageLayoutView="0" workbookViewId="0" topLeftCell="A1">
      <selection activeCell="B14" sqref="B14:C14"/>
    </sheetView>
  </sheetViews>
  <sheetFormatPr defaultColWidth="11.421875" defaultRowHeight="12.75"/>
  <cols>
    <col min="1" max="1" width="7.28125" style="6" customWidth="1"/>
    <col min="2" max="2" width="21.140625" style="6" customWidth="1"/>
    <col min="3" max="3" width="27.28125" style="6" customWidth="1"/>
    <col min="4" max="4" width="22.57421875" style="6" customWidth="1"/>
    <col min="5" max="5" width="25.57421875" style="6" customWidth="1"/>
    <col min="6" max="6" width="8.7109375" style="6" customWidth="1"/>
    <col min="7" max="8" width="10.57421875" style="6" customWidth="1"/>
    <col min="9" max="9" width="8.7109375" style="6" customWidth="1"/>
    <col min="10" max="10" width="8.57421875" style="6" customWidth="1"/>
    <col min="11" max="11" width="11.00390625" style="6" customWidth="1"/>
    <col min="12" max="12" width="8.7109375" style="6" customWidth="1"/>
    <col min="13" max="13" width="9.00390625" style="6" customWidth="1"/>
    <col min="14" max="14" width="8.7109375" style="6" customWidth="1"/>
    <col min="15" max="15" width="8.8515625" style="6" customWidth="1"/>
    <col min="16" max="16" width="8.7109375" style="6" customWidth="1"/>
    <col min="17" max="17" width="9.7109375" style="6" customWidth="1"/>
    <col min="18" max="18" width="10.7109375" style="6" customWidth="1"/>
    <col min="19" max="19" width="10.8515625" style="6" customWidth="1"/>
    <col min="20" max="21" width="8.57421875" style="6" customWidth="1"/>
    <col min="22" max="22" width="9.57421875" style="6" customWidth="1"/>
    <col min="23" max="23" width="9.421875" style="6" customWidth="1"/>
    <col min="24" max="24" width="10.140625" style="6" customWidth="1"/>
    <col min="25" max="26" width="8.8515625" style="6" customWidth="1"/>
    <col min="27" max="27" width="8.7109375" style="6" customWidth="1"/>
    <col min="28" max="28" width="10.140625" style="6" customWidth="1"/>
    <col min="29" max="29" width="9.140625" style="6" customWidth="1"/>
    <col min="30" max="30" width="9.7109375" style="6" customWidth="1"/>
    <col min="31" max="31" width="8.7109375" style="6" customWidth="1"/>
    <col min="32" max="32" width="9.28125" style="6" customWidth="1"/>
    <col min="33" max="34" width="9.57421875" style="6" customWidth="1"/>
    <col min="35" max="35" width="8.8515625" style="6" customWidth="1"/>
    <col min="36" max="36" width="12.57421875" style="6" customWidth="1"/>
    <col min="37" max="16384" width="11.421875" style="6" customWidth="1"/>
  </cols>
  <sheetData>
    <row r="1" spans="1:10" s="26" customFormat="1" ht="18">
      <c r="A1" s="259" t="str">
        <f>+'POA-01'!A1:J1</f>
        <v>PLAN OPERATIVO ANUAL -2009</v>
      </c>
      <c r="B1" s="259"/>
      <c r="C1" s="259"/>
      <c r="D1" s="259"/>
      <c r="E1" s="24"/>
      <c r="F1" s="24"/>
      <c r="G1" s="24"/>
      <c r="H1" s="24"/>
      <c r="I1" s="24"/>
      <c r="J1" s="25"/>
    </row>
    <row r="2" spans="1:10" ht="5.25" customHeight="1">
      <c r="A2" s="7"/>
      <c r="B2" s="7"/>
      <c r="C2" s="7"/>
      <c r="D2" s="7"/>
      <c r="E2" s="7"/>
      <c r="F2" s="7"/>
      <c r="G2" s="7"/>
      <c r="H2" s="7"/>
      <c r="I2" s="7"/>
      <c r="J2" s="10"/>
    </row>
    <row r="3" spans="1:10" s="15" customFormat="1" ht="14.25">
      <c r="A3" s="14" t="s">
        <v>7</v>
      </c>
      <c r="B3" s="14"/>
      <c r="C3" s="32" t="s">
        <v>317</v>
      </c>
      <c r="E3" s="186" t="s">
        <v>117</v>
      </c>
      <c r="F3" s="186">
        <v>1139001</v>
      </c>
      <c r="G3" s="20"/>
      <c r="H3" s="20"/>
      <c r="I3" s="20"/>
      <c r="J3" s="16"/>
    </row>
    <row r="4" spans="1:10" s="15" customFormat="1" ht="15" customHeight="1">
      <c r="A4" s="14"/>
      <c r="B4" s="14"/>
      <c r="C4" s="14"/>
      <c r="D4" s="20"/>
      <c r="E4" s="20"/>
      <c r="F4" s="20"/>
      <c r="G4" s="20"/>
      <c r="H4" s="20"/>
      <c r="I4" s="20"/>
      <c r="J4" s="16"/>
    </row>
    <row r="5" spans="1:10" s="15" customFormat="1" ht="14.25">
      <c r="A5" s="16" t="s">
        <v>8</v>
      </c>
      <c r="B5" s="16"/>
      <c r="C5" s="33">
        <f>+'POA-01'!D5</f>
        <v>567908000</v>
      </c>
      <c r="D5" s="20"/>
      <c r="E5" s="20"/>
      <c r="F5" s="20"/>
      <c r="G5" s="20"/>
      <c r="H5" s="20"/>
      <c r="I5" s="20"/>
      <c r="J5" s="16"/>
    </row>
    <row r="6" spans="1:10" s="15" customFormat="1" ht="14.25">
      <c r="A6" s="16"/>
      <c r="B6" s="16"/>
      <c r="C6" s="34"/>
      <c r="D6" s="20"/>
      <c r="E6" s="20"/>
      <c r="F6" s="20"/>
      <c r="G6" s="20"/>
      <c r="H6" s="20"/>
      <c r="I6" s="20"/>
      <c r="J6" s="16"/>
    </row>
    <row r="7" spans="1:10" s="15" customFormat="1" ht="15" customHeight="1">
      <c r="A7" s="16"/>
      <c r="B7" s="16"/>
      <c r="C7" s="34"/>
      <c r="D7" s="20"/>
      <c r="E7" s="20"/>
      <c r="F7" s="20"/>
      <c r="G7" s="20"/>
      <c r="H7" s="20"/>
      <c r="I7" s="20"/>
      <c r="J7" s="16"/>
    </row>
    <row r="8" s="13" customFormat="1" ht="21.75" customHeight="1"/>
    <row r="9" spans="1:4" s="17" customFormat="1" ht="12.75" thickBot="1">
      <c r="A9" s="21" t="s">
        <v>47</v>
      </c>
      <c r="B9" s="21"/>
      <c r="D9" s="18" t="s">
        <v>48</v>
      </c>
    </row>
    <row r="10" spans="1:4" s="13" customFormat="1" ht="12.75" customHeight="1" thickBot="1">
      <c r="A10" s="99" t="s">
        <v>49</v>
      </c>
      <c r="B10" s="332" t="s">
        <v>33</v>
      </c>
      <c r="C10" s="333"/>
      <c r="D10" s="100" t="s">
        <v>25</v>
      </c>
    </row>
    <row r="11" spans="1:4" s="13" customFormat="1" ht="11.25">
      <c r="A11" s="97">
        <v>2</v>
      </c>
      <c r="B11" s="334" t="s">
        <v>145</v>
      </c>
      <c r="C11" s="335"/>
      <c r="D11" s="98">
        <f>SUM(D12:D25)</f>
        <v>5620000</v>
      </c>
    </row>
    <row r="12" spans="1:4" s="13" customFormat="1" ht="11.25">
      <c r="A12" s="73" t="s">
        <v>121</v>
      </c>
      <c r="B12" s="330" t="s">
        <v>120</v>
      </c>
      <c r="C12" s="331"/>
      <c r="D12" s="71"/>
    </row>
    <row r="13" spans="1:4" s="13" customFormat="1" ht="11.25">
      <c r="A13" s="73" t="s">
        <v>122</v>
      </c>
      <c r="B13" s="330" t="s">
        <v>123</v>
      </c>
      <c r="C13" s="331"/>
      <c r="D13" s="71"/>
    </row>
    <row r="14" spans="1:4" s="13" customFormat="1" ht="11.25">
      <c r="A14" s="73" t="s">
        <v>124</v>
      </c>
      <c r="B14" s="330" t="s">
        <v>135</v>
      </c>
      <c r="C14" s="331"/>
      <c r="D14" s="71"/>
    </row>
    <row r="15" spans="1:4" s="13" customFormat="1" ht="11.25">
      <c r="A15" s="73" t="s">
        <v>125</v>
      </c>
      <c r="B15" s="330" t="s">
        <v>136</v>
      </c>
      <c r="C15" s="331"/>
      <c r="D15" s="71">
        <f>+'POA-07'!C24</f>
        <v>5620000</v>
      </c>
    </row>
    <row r="16" spans="1:4" s="13" customFormat="1" ht="11.25">
      <c r="A16" s="73" t="s">
        <v>126</v>
      </c>
      <c r="B16" s="330" t="s">
        <v>146</v>
      </c>
      <c r="C16" s="331"/>
      <c r="D16" s="133"/>
    </row>
    <row r="17" spans="1:4" s="13" customFormat="1" ht="11.25">
      <c r="A17" s="73" t="s">
        <v>127</v>
      </c>
      <c r="B17" s="330" t="s">
        <v>137</v>
      </c>
      <c r="C17" s="331"/>
      <c r="D17" s="71"/>
    </row>
    <row r="18" spans="1:4" s="13" customFormat="1" ht="11.25">
      <c r="A18" s="73" t="s">
        <v>128</v>
      </c>
      <c r="B18" s="330" t="s">
        <v>138</v>
      </c>
      <c r="C18" s="331"/>
      <c r="D18" s="71"/>
    </row>
    <row r="19" spans="1:4" s="13" customFormat="1" ht="11.25">
      <c r="A19" s="73" t="s">
        <v>129</v>
      </c>
      <c r="B19" s="330" t="s">
        <v>139</v>
      </c>
      <c r="C19" s="331"/>
      <c r="D19" s="71"/>
    </row>
    <row r="20" spans="1:4" s="13" customFormat="1" ht="11.25">
      <c r="A20" s="73" t="s">
        <v>130</v>
      </c>
      <c r="B20" s="330" t="s">
        <v>140</v>
      </c>
      <c r="C20" s="331"/>
      <c r="D20" s="71">
        <f>+'POA-07'!C32</f>
        <v>0</v>
      </c>
    </row>
    <row r="21" spans="1:4" s="13" customFormat="1" ht="11.25">
      <c r="A21" s="73" t="s">
        <v>131</v>
      </c>
      <c r="B21" s="330" t="s">
        <v>141</v>
      </c>
      <c r="C21" s="331"/>
      <c r="D21" s="71"/>
    </row>
    <row r="22" spans="1:4" s="13" customFormat="1" ht="11.25">
      <c r="A22" s="73" t="s">
        <v>132</v>
      </c>
      <c r="B22" s="330" t="s">
        <v>142</v>
      </c>
      <c r="C22" s="331"/>
      <c r="D22" s="71"/>
    </row>
    <row r="23" spans="1:4" s="13" customFormat="1" ht="11.25">
      <c r="A23" s="73" t="s">
        <v>133</v>
      </c>
      <c r="B23" s="330" t="s">
        <v>143</v>
      </c>
      <c r="C23" s="331"/>
      <c r="D23" s="71"/>
    </row>
    <row r="24" spans="1:4" s="13" customFormat="1" ht="11.25">
      <c r="A24" s="73" t="s">
        <v>134</v>
      </c>
      <c r="B24" s="330" t="s">
        <v>144</v>
      </c>
      <c r="C24" s="331"/>
      <c r="D24" s="71"/>
    </row>
    <row r="25" spans="1:4" s="13" customFormat="1" ht="11.25">
      <c r="A25" s="73" t="s">
        <v>147</v>
      </c>
      <c r="B25" s="330" t="s">
        <v>148</v>
      </c>
      <c r="C25" s="331"/>
      <c r="D25" s="71"/>
    </row>
    <row r="26" spans="1:4" s="13" customFormat="1" ht="11.25">
      <c r="A26" s="73"/>
      <c r="B26" s="330"/>
      <c r="C26" s="331"/>
      <c r="D26" s="71"/>
    </row>
    <row r="27" spans="1:4" s="13" customFormat="1" ht="11.25">
      <c r="A27" s="73"/>
      <c r="B27" s="330"/>
      <c r="C27" s="331"/>
      <c r="D27" s="71"/>
    </row>
    <row r="28" spans="1:4" s="13" customFormat="1" ht="11.25">
      <c r="A28" s="73"/>
      <c r="B28" s="330"/>
      <c r="C28" s="331"/>
      <c r="D28" s="71"/>
    </row>
    <row r="29" spans="1:4" s="13" customFormat="1" ht="11.25">
      <c r="A29" s="73"/>
      <c r="B29" s="330"/>
      <c r="C29" s="331"/>
      <c r="D29" s="71"/>
    </row>
    <row r="30" spans="1:4" s="13" customFormat="1" ht="11.25">
      <c r="A30" s="73"/>
      <c r="B30" s="330"/>
      <c r="C30" s="331"/>
      <c r="D30" s="71"/>
    </row>
    <row r="31" s="13" customFormat="1" ht="11.25">
      <c r="A31" s="74"/>
    </row>
    <row r="32" s="13" customFormat="1" ht="11.25"/>
    <row r="33" s="13" customFormat="1" ht="11.25"/>
    <row r="34" s="13" customFormat="1" ht="11.25"/>
    <row r="35" s="13" customFormat="1" ht="11.25"/>
    <row r="36" s="13" customFormat="1" ht="11.25"/>
    <row r="37" s="13" customFormat="1" ht="11.25"/>
    <row r="38" s="13" customFormat="1" ht="11.25"/>
    <row r="39" s="13" customFormat="1" ht="11.25"/>
    <row r="40" spans="4:36" s="13" customFormat="1" ht="11.25">
      <c r="D40" s="339" t="s">
        <v>160</v>
      </c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</row>
    <row r="41" spans="4:36" s="13" customFormat="1" ht="12.75">
      <c r="D41" s="298" t="s">
        <v>195</v>
      </c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77"/>
    </row>
    <row r="42" spans="4:36" s="13" customFormat="1" ht="11.25">
      <c r="D42" s="339" t="s">
        <v>119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</row>
    <row r="43" spans="4:36" s="13" customFormat="1" ht="12" thickBot="1"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</row>
    <row r="44" spans="4:36" s="13" customFormat="1" ht="12" customHeight="1" thickBot="1">
      <c r="D44" s="340"/>
      <c r="E44" s="342" t="s">
        <v>26</v>
      </c>
      <c r="F44" s="344" t="s">
        <v>161</v>
      </c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36" t="s">
        <v>29</v>
      </c>
    </row>
    <row r="45" spans="4:36" s="13" customFormat="1" ht="12" thickBot="1">
      <c r="D45" s="341"/>
      <c r="E45" s="343"/>
      <c r="F45" s="106" t="s">
        <v>162</v>
      </c>
      <c r="G45" s="106" t="s">
        <v>163</v>
      </c>
      <c r="H45" s="106" t="s">
        <v>164</v>
      </c>
      <c r="I45" s="106" t="s">
        <v>165</v>
      </c>
      <c r="J45" s="106" t="s">
        <v>166</v>
      </c>
      <c r="K45" s="106" t="s">
        <v>167</v>
      </c>
      <c r="L45" s="106" t="s">
        <v>168</v>
      </c>
      <c r="M45" s="106" t="s">
        <v>169</v>
      </c>
      <c r="N45" s="106" t="s">
        <v>170</v>
      </c>
      <c r="O45" s="106" t="s">
        <v>171</v>
      </c>
      <c r="P45" s="106" t="s">
        <v>172</v>
      </c>
      <c r="Q45" s="106" t="s">
        <v>173</v>
      </c>
      <c r="R45" s="106" t="s">
        <v>196</v>
      </c>
      <c r="S45" s="106" t="s">
        <v>197</v>
      </c>
      <c r="T45" s="106" t="s">
        <v>198</v>
      </c>
      <c r="U45" s="106" t="s">
        <v>199</v>
      </c>
      <c r="V45" s="106" t="s">
        <v>200</v>
      </c>
      <c r="W45" s="106" t="s">
        <v>201</v>
      </c>
      <c r="X45" s="106" t="s">
        <v>202</v>
      </c>
      <c r="Y45" s="106" t="s">
        <v>203</v>
      </c>
      <c r="Z45" s="106" t="s">
        <v>204</v>
      </c>
      <c r="AA45" s="106" t="s">
        <v>205</v>
      </c>
      <c r="AB45" s="106" t="s">
        <v>206</v>
      </c>
      <c r="AC45" s="106" t="s">
        <v>207</v>
      </c>
      <c r="AD45" s="106" t="s">
        <v>208</v>
      </c>
      <c r="AE45" s="106" t="s">
        <v>209</v>
      </c>
      <c r="AF45" s="106" t="s">
        <v>210</v>
      </c>
      <c r="AG45" s="106" t="s">
        <v>211</v>
      </c>
      <c r="AH45" s="106" t="s">
        <v>212</v>
      </c>
      <c r="AI45" s="106" t="s">
        <v>213</v>
      </c>
      <c r="AJ45" s="337"/>
    </row>
    <row r="46" spans="4:39" s="13" customFormat="1" ht="11.25">
      <c r="D46" s="103">
        <v>1000</v>
      </c>
      <c r="E46" s="104" t="s">
        <v>66</v>
      </c>
      <c r="F46" s="105">
        <f aca="true" t="shared" si="0" ref="F46:L46">SUM(F47:F48)</f>
        <v>0</v>
      </c>
      <c r="G46" s="105">
        <f t="shared" si="0"/>
        <v>0</v>
      </c>
      <c r="H46" s="105">
        <f t="shared" si="0"/>
        <v>0</v>
      </c>
      <c r="I46" s="105">
        <f t="shared" si="0"/>
        <v>0</v>
      </c>
      <c r="J46" s="105">
        <f t="shared" si="0"/>
        <v>0</v>
      </c>
      <c r="K46" s="105">
        <f t="shared" si="0"/>
        <v>0</v>
      </c>
      <c r="L46" s="105">
        <f t="shared" si="0"/>
        <v>0</v>
      </c>
      <c r="M46" s="105">
        <f aca="true" t="shared" si="1" ref="M46:U46">SUM(M47:M48)</f>
        <v>0</v>
      </c>
      <c r="N46" s="105">
        <f t="shared" si="1"/>
        <v>0</v>
      </c>
      <c r="O46" s="105">
        <f t="shared" si="1"/>
        <v>0</v>
      </c>
      <c r="P46" s="105">
        <f t="shared" si="1"/>
        <v>0</v>
      </c>
      <c r="Q46" s="105">
        <f>SUM(Q47:Q47)</f>
        <v>5643750</v>
      </c>
      <c r="R46" s="105">
        <f t="shared" si="1"/>
        <v>5643750</v>
      </c>
      <c r="S46" s="105">
        <f t="shared" si="1"/>
        <v>2257500</v>
      </c>
      <c r="T46" s="105">
        <f t="shared" si="1"/>
        <v>2257500</v>
      </c>
      <c r="U46" s="105">
        <f t="shared" si="1"/>
        <v>2257500</v>
      </c>
      <c r="V46" s="105">
        <f>SUM(V47:V48)</f>
        <v>10158750</v>
      </c>
      <c r="W46" s="105">
        <f aca="true" t="shared" si="2" ref="W46:AI46">SUM(W47:W48)</f>
        <v>4515000</v>
      </c>
      <c r="X46" s="105">
        <f t="shared" si="2"/>
        <v>4515000</v>
      </c>
      <c r="Y46" s="105">
        <f t="shared" si="2"/>
        <v>1693125</v>
      </c>
      <c r="Z46" s="105">
        <f t="shared" si="2"/>
        <v>1693125</v>
      </c>
      <c r="AA46" s="105">
        <f t="shared" si="2"/>
        <v>0</v>
      </c>
      <c r="AB46" s="105">
        <f t="shared" si="2"/>
        <v>1000000</v>
      </c>
      <c r="AC46" s="105">
        <f t="shared" si="2"/>
        <v>1000000</v>
      </c>
      <c r="AD46" s="105">
        <f t="shared" si="2"/>
        <v>1000000</v>
      </c>
      <c r="AE46" s="105">
        <f t="shared" si="2"/>
        <v>0</v>
      </c>
      <c r="AF46" s="105">
        <f t="shared" si="2"/>
        <v>0</v>
      </c>
      <c r="AG46" s="105">
        <f t="shared" si="2"/>
        <v>365658</v>
      </c>
      <c r="AH46" s="105">
        <f t="shared" si="2"/>
        <v>0</v>
      </c>
      <c r="AI46" s="105">
        <f t="shared" si="2"/>
        <v>1000000</v>
      </c>
      <c r="AJ46" s="87">
        <f>+AJ47+AJ48</f>
        <v>45000658</v>
      </c>
      <c r="AL46" s="13">
        <v>170349911</v>
      </c>
      <c r="AM46" s="75">
        <f>+AL46-AJ46</f>
        <v>125349253</v>
      </c>
    </row>
    <row r="47" spans="4:39" s="13" customFormat="1" ht="11.25">
      <c r="D47" s="83">
        <v>1001</v>
      </c>
      <c r="E47" s="83" t="s">
        <v>67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131">
        <f>'POA-02'!J12/360*50+'POA-02'!J23/360*28</f>
        <v>5643750</v>
      </c>
      <c r="R47" s="131">
        <f>'POA-02'!J12/360*50</f>
        <v>5643750</v>
      </c>
      <c r="S47" s="131">
        <f>'POA-02'!J12/360*20</f>
        <v>2257500</v>
      </c>
      <c r="T47" s="131">
        <f>'POA-02'!J12/360*20+'POA-02'!J23/360*28</f>
        <v>2257500</v>
      </c>
      <c r="U47" s="131">
        <f>'POA-02'!J12/360*20</f>
        <v>2257500</v>
      </c>
      <c r="V47" s="131">
        <f>'POA-02'!J12/360*90+'POA-02'!J13+'POA-02'!J23/360*28</f>
        <v>10158750</v>
      </c>
      <c r="W47" s="131">
        <f>'POA-02'!J12/360*40+'POA-02'!J23/360*34</f>
        <v>4515000</v>
      </c>
      <c r="X47" s="131">
        <f>'POA-02'!J12/360*40</f>
        <v>4515000</v>
      </c>
      <c r="Y47" s="131">
        <f>'POA-02'!J12/360*15</f>
        <v>1693125</v>
      </c>
      <c r="Z47" s="131">
        <f>'POA-02'!J12/360*15</f>
        <v>1693125</v>
      </c>
      <c r="AA47" s="89">
        <v>0</v>
      </c>
      <c r="AB47" s="131">
        <f>'POA-02'!J14/360*90</f>
        <v>0</v>
      </c>
      <c r="AC47" s="131">
        <f>'POA-02'!J14/360*45</f>
        <v>0</v>
      </c>
      <c r="AD47" s="131">
        <f>'POA-02'!J14/360*90</f>
        <v>0</v>
      </c>
      <c r="AE47" s="89">
        <v>0</v>
      </c>
      <c r="AF47" s="131">
        <v>0</v>
      </c>
      <c r="AG47" s="131">
        <f>'POA-02'!J14/360*45+365658</f>
        <v>365658</v>
      </c>
      <c r="AH47" s="131">
        <f>'POA-02'!J14/360*90</f>
        <v>0</v>
      </c>
      <c r="AI47" s="89">
        <v>0</v>
      </c>
      <c r="AJ47" s="87">
        <f>SUM(F47:AI47)</f>
        <v>41000658</v>
      </c>
      <c r="AL47" s="13">
        <v>39690000</v>
      </c>
      <c r="AM47" s="75">
        <f>+AL47-AJ47</f>
        <v>-1310658</v>
      </c>
    </row>
    <row r="48" spans="4:36" s="13" customFormat="1" ht="11.25">
      <c r="D48" s="83">
        <v>1002</v>
      </c>
      <c r="E48" s="83" t="s">
        <v>68</v>
      </c>
      <c r="F48" s="131">
        <f>'POA-02'!J22/360*45</f>
        <v>0</v>
      </c>
      <c r="G48" s="131">
        <f>'POA-02'!J22/360*45</f>
        <v>0</v>
      </c>
      <c r="H48" s="131">
        <f>'POA-02'!J22/360*10</f>
        <v>0</v>
      </c>
      <c r="I48" s="131">
        <f>'POA-02'!J22/360*40</f>
        <v>0</v>
      </c>
      <c r="J48" s="131">
        <f>'POA-02'!J22/360*40</f>
        <v>0</v>
      </c>
      <c r="K48" s="131">
        <f>'POA-02'!J22/360*20+'POA-02'!J23/360*25</f>
        <v>0</v>
      </c>
      <c r="L48" s="131">
        <f>'POA-02'!J22/360*50+'POA-02'!J23/360*25</f>
        <v>0</v>
      </c>
      <c r="M48" s="131">
        <f>'POA-02'!J22/360*15+'POA-02'!J23/360*25</f>
        <v>0</v>
      </c>
      <c r="N48" s="131">
        <f>'POA-02'!J22/360*45+'POA-02'!J23/360*25</f>
        <v>0</v>
      </c>
      <c r="O48" s="131">
        <f>'POA-02'!J22/360*35+'POA-02'!J23/360*25</f>
        <v>0</v>
      </c>
      <c r="P48" s="131">
        <f>'POA-02'!J22/360*15</f>
        <v>0</v>
      </c>
      <c r="Q48" s="75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89">
        <v>0</v>
      </c>
      <c r="X48" s="89">
        <v>0</v>
      </c>
      <c r="Y48" s="89">
        <v>0</v>
      </c>
      <c r="Z48" s="89">
        <v>0</v>
      </c>
      <c r="AA48" s="131">
        <f>'POA-02'!J21/360*45</f>
        <v>0</v>
      </c>
      <c r="AB48" s="131">
        <f>'POA-02'!J21/360*30+1000000</f>
        <v>1000000</v>
      </c>
      <c r="AC48" s="131">
        <f>'POA-02'!J21/360*30+1000000</f>
        <v>1000000</v>
      </c>
      <c r="AD48" s="131">
        <f>'POA-02'!J21/360*30+1000000</f>
        <v>1000000</v>
      </c>
      <c r="AE48" s="131">
        <f>'POA-02'!J21/360*45</f>
        <v>0</v>
      </c>
      <c r="AF48" s="131">
        <f>'POA-02'!J21/360*45</f>
        <v>0</v>
      </c>
      <c r="AG48" s="131">
        <f>'POA-02'!J21/360*60</f>
        <v>0</v>
      </c>
      <c r="AH48" s="131">
        <f>'POA-02'!J21/360*60</f>
        <v>0</v>
      </c>
      <c r="AI48" s="131">
        <f>'POA-02'!J21/360*15+1000000</f>
        <v>1000000</v>
      </c>
      <c r="AJ48" s="87">
        <f>SUM(F48:AI48)</f>
        <v>4000000</v>
      </c>
    </row>
    <row r="49" spans="4:36" s="13" customFormat="1" ht="11.25">
      <c r="D49" s="85">
        <v>2000</v>
      </c>
      <c r="E49" s="83" t="s">
        <v>69</v>
      </c>
      <c r="F49" s="87">
        <f>+F50+F51+F55+F56+F60+F63+F67+F68+F69+F70+F71+F72+F73+F74+F75+F78+F79</f>
        <v>1840000</v>
      </c>
      <c r="G49" s="87">
        <f aca="true" t="shared" si="3" ref="G49:L49">+G50+G51+G55+G56+G60+F63+G67+G68+G69+G70+G71+G72+G73+G74+G75+G78+G79</f>
        <v>4340000</v>
      </c>
      <c r="H49" s="87">
        <f t="shared" si="3"/>
        <v>3874042.9675</v>
      </c>
      <c r="I49" s="87">
        <f t="shared" si="3"/>
        <v>1540000</v>
      </c>
      <c r="J49" s="87">
        <f t="shared" si="3"/>
        <v>1840000</v>
      </c>
      <c r="K49" s="87">
        <f t="shared" si="3"/>
        <v>1370000</v>
      </c>
      <c r="L49" s="87">
        <f t="shared" si="3"/>
        <v>3250000</v>
      </c>
      <c r="M49" s="131">
        <f>'POA-02'!Q22/360*120+'POA-02'!Q24/360*120</f>
        <v>0</v>
      </c>
      <c r="N49" s="87">
        <f aca="true" t="shared" si="4" ref="N49:AI49">+N50+N51+N55+N56+N60+M63+N67+N68+N69+N70+N71+N72+N73+N74+N75+N78+N79</f>
        <v>450000</v>
      </c>
      <c r="O49" s="87">
        <f t="shared" si="4"/>
        <v>900000</v>
      </c>
      <c r="P49" s="87">
        <f t="shared" si="4"/>
        <v>0</v>
      </c>
      <c r="Q49" s="87">
        <f t="shared" si="4"/>
        <v>82600000</v>
      </c>
      <c r="R49" s="87">
        <f t="shared" si="4"/>
        <v>214850000</v>
      </c>
      <c r="S49" s="87">
        <f t="shared" si="4"/>
        <v>280700000</v>
      </c>
      <c r="T49" s="87">
        <f t="shared" si="4"/>
        <v>600000</v>
      </c>
      <c r="U49" s="87">
        <f t="shared" si="4"/>
        <v>2200000</v>
      </c>
      <c r="V49" s="87">
        <f t="shared" si="4"/>
        <v>450000</v>
      </c>
      <c r="W49" s="87">
        <f t="shared" si="4"/>
        <v>900000</v>
      </c>
      <c r="X49" s="87">
        <f t="shared" si="4"/>
        <v>47650000</v>
      </c>
      <c r="Y49" s="87">
        <f t="shared" si="4"/>
        <v>1030000</v>
      </c>
      <c r="Z49" s="87">
        <f t="shared" si="4"/>
        <v>2100000</v>
      </c>
      <c r="AA49" s="87">
        <f t="shared" si="4"/>
        <v>1550000</v>
      </c>
      <c r="AB49" s="87">
        <f t="shared" si="4"/>
        <v>650000</v>
      </c>
      <c r="AC49" s="87">
        <f t="shared" si="4"/>
        <v>750000</v>
      </c>
      <c r="AD49" s="87">
        <f t="shared" si="4"/>
        <v>750000</v>
      </c>
      <c r="AE49" s="87">
        <f t="shared" si="4"/>
        <v>1850000</v>
      </c>
      <c r="AF49" s="87">
        <f t="shared" si="4"/>
        <v>500000</v>
      </c>
      <c r="AG49" s="87">
        <f t="shared" si="4"/>
        <v>3750000</v>
      </c>
      <c r="AH49" s="87">
        <f t="shared" si="4"/>
        <v>3500000</v>
      </c>
      <c r="AI49" s="87">
        <f t="shared" si="4"/>
        <v>2600000</v>
      </c>
      <c r="AJ49" s="87">
        <f>+AJ50+AJ51+AJ55+AJ56+AJ60+AJ63+AJ67+AJ68+AJ69+AJ70+AJ71+AJ72+AJ73+AJ74+AJ75+AJ78+AJ79</f>
        <v>670034042.9675</v>
      </c>
    </row>
    <row r="50" spans="4:36" s="13" customFormat="1" ht="11.25">
      <c r="D50" s="83">
        <v>2001</v>
      </c>
      <c r="E50" s="83" t="s">
        <v>70</v>
      </c>
      <c r="F50" s="89">
        <v>0</v>
      </c>
      <c r="G50" s="89"/>
      <c r="H50" s="131"/>
      <c r="I50" s="89"/>
      <c r="J50" s="89">
        <v>0</v>
      </c>
      <c r="K50" s="89"/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79500000</v>
      </c>
      <c r="R50" s="89">
        <v>214000000</v>
      </c>
      <c r="S50" s="89">
        <v>280000000</v>
      </c>
      <c r="T50" s="89">
        <v>0</v>
      </c>
      <c r="U50" s="89">
        <v>0</v>
      </c>
      <c r="V50" s="89">
        <v>0</v>
      </c>
      <c r="W50" s="89">
        <v>0</v>
      </c>
      <c r="X50" s="89">
        <v>45000000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7">
        <f aca="true" t="shared" si="5" ref="AJ50:AJ74">SUM(F50:AI50)</f>
        <v>618500000</v>
      </c>
    </row>
    <row r="51" spans="4:36" s="13" customFormat="1" ht="11.25">
      <c r="D51" s="83">
        <v>2002</v>
      </c>
      <c r="E51" s="83" t="s">
        <v>158</v>
      </c>
      <c r="F51" s="89"/>
      <c r="G51" s="89"/>
      <c r="H51" s="131">
        <f>'POA-03'!H22</f>
        <v>2034042.9674999998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7">
        <f t="shared" si="5"/>
        <v>2034042.9674999998</v>
      </c>
    </row>
    <row r="52" spans="4:36" s="13" customFormat="1" ht="11.25">
      <c r="D52" s="83" t="s">
        <v>72</v>
      </c>
      <c r="E52" s="83" t="s">
        <v>73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7">
        <f t="shared" si="5"/>
        <v>0</v>
      </c>
    </row>
    <row r="53" spans="4:36" s="13" customFormat="1" ht="11.25">
      <c r="D53" s="83" t="s">
        <v>74</v>
      </c>
      <c r="E53" s="83" t="s">
        <v>75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7">
        <f t="shared" si="5"/>
        <v>0</v>
      </c>
    </row>
    <row r="54" spans="4:36" s="13" customFormat="1" ht="11.25">
      <c r="D54" s="83" t="s">
        <v>76</v>
      </c>
      <c r="E54" s="83" t="s">
        <v>77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7">
        <f t="shared" si="5"/>
        <v>0</v>
      </c>
    </row>
    <row r="55" spans="4:36" s="13" customFormat="1" ht="15" customHeight="1">
      <c r="D55" s="83">
        <v>2003</v>
      </c>
      <c r="E55" s="90" t="s">
        <v>78</v>
      </c>
      <c r="F55" s="89">
        <v>0</v>
      </c>
      <c r="G55" s="89"/>
      <c r="H55" s="89">
        <v>0</v>
      </c>
      <c r="I55" s="89">
        <v>0</v>
      </c>
      <c r="J55" s="89"/>
      <c r="K55" s="89">
        <v>0</v>
      </c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7">
        <f t="shared" si="5"/>
        <v>0</v>
      </c>
    </row>
    <row r="56" spans="4:36" s="13" customFormat="1" ht="11.25">
      <c r="D56" s="83">
        <v>2004</v>
      </c>
      <c r="E56" s="83" t="s">
        <v>79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7">
        <f t="shared" si="5"/>
        <v>0</v>
      </c>
    </row>
    <row r="57" spans="4:36" s="13" customFormat="1" ht="11.25">
      <c r="D57" s="83" t="s">
        <v>80</v>
      </c>
      <c r="E57" s="83" t="s">
        <v>81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7">
        <f t="shared" si="5"/>
        <v>0</v>
      </c>
    </row>
    <row r="58" spans="4:36" s="13" customFormat="1" ht="11.25">
      <c r="D58" s="83" t="s">
        <v>82</v>
      </c>
      <c r="E58" s="83" t="s">
        <v>83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7">
        <f t="shared" si="5"/>
        <v>0</v>
      </c>
    </row>
    <row r="59" spans="4:36" s="13" customFormat="1" ht="11.25">
      <c r="D59" s="83" t="s">
        <v>84</v>
      </c>
      <c r="E59" s="83" t="s">
        <v>85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7">
        <f t="shared" si="5"/>
        <v>0</v>
      </c>
    </row>
    <row r="60" spans="4:36" s="13" customFormat="1" ht="11.25">
      <c r="D60" s="83">
        <v>2005</v>
      </c>
      <c r="E60" s="83" t="s">
        <v>86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7">
        <f t="shared" si="5"/>
        <v>0</v>
      </c>
    </row>
    <row r="61" spans="4:36" s="13" customFormat="1" ht="11.25">
      <c r="D61" s="83" t="s">
        <v>87</v>
      </c>
      <c r="E61" s="83" t="s">
        <v>88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7">
        <f t="shared" si="5"/>
        <v>0</v>
      </c>
    </row>
    <row r="62" spans="4:36" s="13" customFormat="1" ht="11.25">
      <c r="D62" s="83" t="s">
        <v>89</v>
      </c>
      <c r="E62" s="83" t="s">
        <v>90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7">
        <f t="shared" si="5"/>
        <v>0</v>
      </c>
    </row>
    <row r="63" spans="4:36" s="13" customFormat="1" ht="11.25">
      <c r="D63" s="83">
        <v>2006</v>
      </c>
      <c r="E63" s="83" t="s">
        <v>91</v>
      </c>
      <c r="F63" s="131">
        <f>SUM(F64:F66)</f>
        <v>1200000</v>
      </c>
      <c r="G63" s="131">
        <f aca="true" t="shared" si="6" ref="G63:N63">SUM(G64:G66)</f>
        <v>1200000</v>
      </c>
      <c r="H63" s="131">
        <f t="shared" si="6"/>
        <v>900000</v>
      </c>
      <c r="I63" s="131">
        <f t="shared" si="6"/>
        <v>1200000</v>
      </c>
      <c r="J63" s="131">
        <f t="shared" si="6"/>
        <v>1050000</v>
      </c>
      <c r="K63" s="131">
        <f t="shared" si="6"/>
        <v>1350000</v>
      </c>
      <c r="L63" s="131">
        <f t="shared" si="6"/>
        <v>900000</v>
      </c>
      <c r="M63" s="131">
        <f t="shared" si="6"/>
        <v>150000</v>
      </c>
      <c r="N63" s="131">
        <f t="shared" si="6"/>
        <v>600000</v>
      </c>
      <c r="O63" s="131">
        <f aca="true" t="shared" si="7" ref="O63:AI63">SUM(O64:O66)</f>
        <v>0</v>
      </c>
      <c r="P63" s="131">
        <f t="shared" si="7"/>
        <v>900000</v>
      </c>
      <c r="Q63" s="131">
        <f t="shared" si="7"/>
        <v>450000</v>
      </c>
      <c r="R63" s="131">
        <f t="shared" si="7"/>
        <v>300000</v>
      </c>
      <c r="S63" s="131">
        <f t="shared" si="7"/>
        <v>300000</v>
      </c>
      <c r="T63" s="131">
        <f t="shared" si="7"/>
        <v>300000</v>
      </c>
      <c r="U63" s="131">
        <f t="shared" si="7"/>
        <v>150000</v>
      </c>
      <c r="V63" s="131">
        <f t="shared" si="7"/>
        <v>300000</v>
      </c>
      <c r="W63" s="131">
        <f t="shared" si="7"/>
        <v>1350000</v>
      </c>
      <c r="X63" s="131">
        <f t="shared" si="7"/>
        <v>450000</v>
      </c>
      <c r="Y63" s="131">
        <f t="shared" si="7"/>
        <v>300000</v>
      </c>
      <c r="Z63" s="131">
        <f t="shared" si="7"/>
        <v>1350000</v>
      </c>
      <c r="AA63" s="131">
        <f t="shared" si="7"/>
        <v>450000</v>
      </c>
      <c r="AB63" s="131">
        <f t="shared" si="7"/>
        <v>450000</v>
      </c>
      <c r="AC63" s="131">
        <f t="shared" si="7"/>
        <v>450000</v>
      </c>
      <c r="AD63" s="131">
        <f t="shared" si="7"/>
        <v>450000</v>
      </c>
      <c r="AE63" s="131">
        <f t="shared" si="7"/>
        <v>300000</v>
      </c>
      <c r="AF63" s="131">
        <f t="shared" si="7"/>
        <v>1650000</v>
      </c>
      <c r="AG63" s="131">
        <f t="shared" si="7"/>
        <v>1800000</v>
      </c>
      <c r="AH63" s="131">
        <f t="shared" si="7"/>
        <v>1500000</v>
      </c>
      <c r="AI63" s="131">
        <f t="shared" si="7"/>
        <v>1650000</v>
      </c>
      <c r="AJ63" s="87">
        <f t="shared" si="5"/>
        <v>23400000</v>
      </c>
    </row>
    <row r="64" spans="4:36" s="13" customFormat="1" ht="11.25">
      <c r="D64" s="83" t="s">
        <v>92</v>
      </c>
      <c r="E64" s="83" t="s">
        <v>93</v>
      </c>
      <c r="F64" s="89">
        <v>600000</v>
      </c>
      <c r="G64" s="89">
        <v>600000</v>
      </c>
      <c r="H64" s="89">
        <v>300000</v>
      </c>
      <c r="I64" s="89">
        <v>600000</v>
      </c>
      <c r="J64" s="89">
        <v>450000</v>
      </c>
      <c r="K64" s="89">
        <v>750000</v>
      </c>
      <c r="L64" s="89">
        <v>900000</v>
      </c>
      <c r="M64" s="89">
        <v>150000</v>
      </c>
      <c r="N64" s="89">
        <v>600000</v>
      </c>
      <c r="O64" s="89">
        <v>0</v>
      </c>
      <c r="P64" s="89">
        <v>300000</v>
      </c>
      <c r="Q64" s="89">
        <v>450000</v>
      </c>
      <c r="R64" s="89">
        <v>300000</v>
      </c>
      <c r="S64" s="89">
        <v>300000</v>
      </c>
      <c r="T64" s="89">
        <v>300000</v>
      </c>
      <c r="U64" s="89">
        <v>150000</v>
      </c>
      <c r="V64" s="89">
        <v>300000</v>
      </c>
      <c r="W64" s="89">
        <v>1350000</v>
      </c>
      <c r="X64" s="89">
        <v>450000</v>
      </c>
      <c r="Y64" s="89">
        <v>300000</v>
      </c>
      <c r="Z64" s="89">
        <v>150000</v>
      </c>
      <c r="AA64" s="89">
        <v>450000</v>
      </c>
      <c r="AB64" s="89">
        <v>450000</v>
      </c>
      <c r="AC64" s="89">
        <v>450000</v>
      </c>
      <c r="AD64" s="89">
        <v>450000</v>
      </c>
      <c r="AE64" s="89">
        <v>300000</v>
      </c>
      <c r="AF64" s="89">
        <v>450000</v>
      </c>
      <c r="AG64" s="89">
        <v>600000</v>
      </c>
      <c r="AH64" s="89">
        <v>900000</v>
      </c>
      <c r="AI64" s="13">
        <v>450000</v>
      </c>
      <c r="AJ64" s="87">
        <f t="shared" si="5"/>
        <v>13800000</v>
      </c>
    </row>
    <row r="65" spans="4:36" s="13" customFormat="1" ht="21">
      <c r="D65" s="83" t="s">
        <v>94</v>
      </c>
      <c r="E65" s="90" t="s">
        <v>149</v>
      </c>
      <c r="F65" s="89">
        <v>600000</v>
      </c>
      <c r="G65" s="89">
        <v>600000</v>
      </c>
      <c r="H65" s="89">
        <v>600000</v>
      </c>
      <c r="I65" s="89">
        <v>600000</v>
      </c>
      <c r="J65" s="89">
        <v>600000</v>
      </c>
      <c r="K65" s="89">
        <v>600000</v>
      </c>
      <c r="L65" s="89">
        <v>0</v>
      </c>
      <c r="M65" s="89">
        <v>0</v>
      </c>
      <c r="N65" s="89">
        <v>0</v>
      </c>
      <c r="O65" s="89">
        <v>0</v>
      </c>
      <c r="P65" s="89">
        <v>600000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1200000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1200000</v>
      </c>
      <c r="AG65" s="89">
        <v>1200000</v>
      </c>
      <c r="AH65" s="89">
        <v>600000</v>
      </c>
      <c r="AI65" s="13">
        <v>1200000</v>
      </c>
      <c r="AJ65" s="87">
        <f t="shared" si="5"/>
        <v>9600000</v>
      </c>
    </row>
    <row r="66" spans="4:36" s="13" customFormat="1" ht="11.25">
      <c r="D66" s="83" t="s">
        <v>95</v>
      </c>
      <c r="E66" s="83" t="s">
        <v>96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7">
        <f t="shared" si="5"/>
        <v>0</v>
      </c>
    </row>
    <row r="67" spans="4:36" s="13" customFormat="1" ht="11.25">
      <c r="D67" s="83">
        <v>2007</v>
      </c>
      <c r="E67" s="90" t="s">
        <v>157</v>
      </c>
      <c r="F67" s="89">
        <v>0</v>
      </c>
      <c r="G67" s="133"/>
      <c r="H67" s="89">
        <v>0</v>
      </c>
      <c r="I67" s="89"/>
      <c r="J67" s="89">
        <v>0</v>
      </c>
      <c r="K67" s="89">
        <v>0</v>
      </c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7">
        <f t="shared" si="5"/>
        <v>0</v>
      </c>
    </row>
    <row r="68" spans="4:36" s="13" customFormat="1" ht="21">
      <c r="D68" s="83">
        <v>2008</v>
      </c>
      <c r="E68" s="90" t="s">
        <v>98</v>
      </c>
      <c r="F68" s="89">
        <v>320000</v>
      </c>
      <c r="G68" s="89">
        <v>320000</v>
      </c>
      <c r="H68" s="89">
        <v>320000</v>
      </c>
      <c r="I68" s="89">
        <v>320000</v>
      </c>
      <c r="J68" s="89">
        <v>320000</v>
      </c>
      <c r="K68" s="89">
        <v>0</v>
      </c>
      <c r="L68" s="89">
        <v>1600000</v>
      </c>
      <c r="M68" s="89">
        <v>0</v>
      </c>
      <c r="N68" s="89">
        <v>0</v>
      </c>
      <c r="O68" s="89">
        <v>0</v>
      </c>
      <c r="P68" s="89">
        <v>0</v>
      </c>
      <c r="Q68" s="89">
        <v>1600000</v>
      </c>
      <c r="R68" s="89">
        <v>0</v>
      </c>
      <c r="S68" s="89">
        <v>0</v>
      </c>
      <c r="T68" s="89">
        <v>0</v>
      </c>
      <c r="U68" s="89">
        <v>1600000</v>
      </c>
      <c r="V68" s="89">
        <v>0</v>
      </c>
      <c r="W68" s="89">
        <v>0</v>
      </c>
      <c r="X68" s="89">
        <v>800000</v>
      </c>
      <c r="Y68" s="89">
        <v>0</v>
      </c>
      <c r="Z68" s="89">
        <v>1600000</v>
      </c>
      <c r="AA68" s="89">
        <v>0</v>
      </c>
      <c r="AB68" s="89">
        <v>0</v>
      </c>
      <c r="AC68" s="89">
        <v>0</v>
      </c>
      <c r="AD68" s="89">
        <v>0</v>
      </c>
      <c r="AE68" s="89">
        <v>1200000</v>
      </c>
      <c r="AF68" s="89">
        <v>0</v>
      </c>
      <c r="AG68" s="89">
        <v>1600000</v>
      </c>
      <c r="AH68" s="89">
        <v>1200000</v>
      </c>
      <c r="AI68" s="89">
        <v>800000</v>
      </c>
      <c r="AJ68" s="87">
        <f t="shared" si="5"/>
        <v>13600000</v>
      </c>
    </row>
    <row r="69" spans="4:36" s="13" customFormat="1" ht="11.25">
      <c r="D69" s="83">
        <v>2009</v>
      </c>
      <c r="E69" s="83" t="s">
        <v>99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7">
        <f t="shared" si="5"/>
        <v>0</v>
      </c>
    </row>
    <row r="70" spans="4:36" s="13" customFormat="1" ht="21">
      <c r="D70" s="83">
        <v>2010</v>
      </c>
      <c r="E70" s="90" t="s">
        <v>100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7">
        <f t="shared" si="5"/>
        <v>0</v>
      </c>
    </row>
    <row r="71" spans="4:36" s="13" customFormat="1" ht="11.25">
      <c r="D71" s="83">
        <v>2011</v>
      </c>
      <c r="E71" s="83" t="s">
        <v>101</v>
      </c>
      <c r="F71" s="89">
        <v>320000</v>
      </c>
      <c r="G71" s="89">
        <v>320000</v>
      </c>
      <c r="H71" s="89">
        <v>320000</v>
      </c>
      <c r="I71" s="89">
        <v>320000</v>
      </c>
      <c r="J71" s="89">
        <v>320000</v>
      </c>
      <c r="K71" s="89">
        <v>320000</v>
      </c>
      <c r="L71" s="89">
        <v>300000</v>
      </c>
      <c r="M71" s="89">
        <v>300000</v>
      </c>
      <c r="N71" s="89">
        <v>300000</v>
      </c>
      <c r="O71" s="89">
        <v>300000</v>
      </c>
      <c r="P71" s="89">
        <v>0</v>
      </c>
      <c r="Q71" s="89">
        <v>600000</v>
      </c>
      <c r="R71" s="89">
        <v>400000</v>
      </c>
      <c r="S71" s="89">
        <v>400000</v>
      </c>
      <c r="T71" s="89">
        <v>300000</v>
      </c>
      <c r="U71" s="89">
        <v>300000</v>
      </c>
      <c r="V71" s="89">
        <v>300000</v>
      </c>
      <c r="W71" s="89">
        <v>600000</v>
      </c>
      <c r="X71" s="89">
        <v>500000</v>
      </c>
      <c r="Y71" s="89">
        <v>580000</v>
      </c>
      <c r="Z71" s="89">
        <v>200000</v>
      </c>
      <c r="AA71" s="89">
        <v>200000</v>
      </c>
      <c r="AB71" s="89">
        <v>200000</v>
      </c>
      <c r="AC71" s="89">
        <v>300000</v>
      </c>
      <c r="AD71" s="89">
        <v>300000</v>
      </c>
      <c r="AE71" s="89">
        <v>200000</v>
      </c>
      <c r="AF71" s="89">
        <v>200000</v>
      </c>
      <c r="AG71" s="89">
        <v>500000</v>
      </c>
      <c r="AH71" s="89">
        <v>500000</v>
      </c>
      <c r="AI71" s="89">
        <v>300000</v>
      </c>
      <c r="AJ71" s="87">
        <f t="shared" si="5"/>
        <v>10000000</v>
      </c>
    </row>
    <row r="72" spans="4:36" s="13" customFormat="1" ht="21">
      <c r="D72" s="83">
        <v>2012</v>
      </c>
      <c r="E72" s="90" t="s">
        <v>102</v>
      </c>
      <c r="F72" s="89">
        <v>0</v>
      </c>
      <c r="G72" s="89"/>
      <c r="H72" s="89">
        <v>0</v>
      </c>
      <c r="I72" s="89">
        <v>0</v>
      </c>
      <c r="J72" s="89"/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7">
        <f t="shared" si="5"/>
        <v>0</v>
      </c>
    </row>
    <row r="73" spans="4:36" s="13" customFormat="1" ht="11.25">
      <c r="D73" s="83">
        <v>2013</v>
      </c>
      <c r="E73" s="83" t="s">
        <v>103</v>
      </c>
      <c r="F73" s="89">
        <v>0</v>
      </c>
      <c r="G73" s="89">
        <v>2500000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7">
        <f t="shared" si="5"/>
        <v>2500000</v>
      </c>
    </row>
    <row r="74" spans="4:36" s="13" customFormat="1" ht="11.25">
      <c r="D74" s="83">
        <v>2014</v>
      </c>
      <c r="E74" s="83" t="s">
        <v>104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7">
        <f t="shared" si="5"/>
        <v>0</v>
      </c>
    </row>
    <row r="75" spans="4:36" s="13" customFormat="1" ht="11.25">
      <c r="D75" s="83">
        <v>2015</v>
      </c>
      <c r="E75" s="83" t="s">
        <v>105</v>
      </c>
      <c r="G75" s="89"/>
      <c r="H75" s="89"/>
      <c r="I75" s="131">
        <f>+I76+I77</f>
        <v>0</v>
      </c>
      <c r="J75" s="89"/>
      <c r="K75" s="89"/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0</v>
      </c>
      <c r="AJ75" s="87">
        <f>SUM(G75:AI75)</f>
        <v>0</v>
      </c>
    </row>
    <row r="76" spans="4:36" s="13" customFormat="1" ht="11.25">
      <c r="D76" s="83" t="s">
        <v>106</v>
      </c>
      <c r="E76" s="83" t="s">
        <v>107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7"/>
    </row>
    <row r="77" spans="4:36" s="13" customFormat="1" ht="11.25">
      <c r="D77" s="83" t="s">
        <v>108</v>
      </c>
      <c r="E77" s="83" t="s">
        <v>109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7">
        <f aca="true" t="shared" si="8" ref="AJ77:AJ84">SUM(F77:AI77)</f>
        <v>0</v>
      </c>
    </row>
    <row r="78" spans="4:36" s="13" customFormat="1" ht="11.25">
      <c r="D78" s="83">
        <v>2016</v>
      </c>
      <c r="E78" s="83" t="s">
        <v>110</v>
      </c>
      <c r="F78" s="89">
        <v>0</v>
      </c>
      <c r="G78" s="89">
        <v>0</v>
      </c>
      <c r="H78" s="89">
        <v>0</v>
      </c>
      <c r="I78" s="89">
        <v>0</v>
      </c>
      <c r="J78" s="89"/>
      <c r="K78" s="89">
        <v>0</v>
      </c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7">
        <f t="shared" si="8"/>
        <v>0</v>
      </c>
    </row>
    <row r="79" spans="4:36" s="13" customFormat="1" ht="11.25">
      <c r="D79" s="83">
        <v>2017</v>
      </c>
      <c r="E79" s="83" t="s">
        <v>111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7">
        <f t="shared" si="8"/>
        <v>0</v>
      </c>
    </row>
    <row r="80" spans="4:36" s="13" customFormat="1" ht="11.25">
      <c r="D80" s="85">
        <v>3000</v>
      </c>
      <c r="E80" s="83" t="s">
        <v>112</v>
      </c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>
        <f t="shared" si="8"/>
        <v>0</v>
      </c>
    </row>
    <row r="81" spans="4:36" s="13" customFormat="1" ht="11.25">
      <c r="D81" s="85">
        <v>4000</v>
      </c>
      <c r="E81" s="83" t="s">
        <v>113</v>
      </c>
      <c r="G81" s="133">
        <f>'POA-05'!C26</f>
        <v>435000000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f t="shared" si="8"/>
        <v>435000000</v>
      </c>
    </row>
    <row r="82" spans="4:36" s="13" customFormat="1" ht="11.25">
      <c r="D82" s="85">
        <v>5000</v>
      </c>
      <c r="E82" s="83" t="s">
        <v>114</v>
      </c>
      <c r="F82" s="87"/>
      <c r="G82" s="87">
        <v>0</v>
      </c>
      <c r="H82" s="87"/>
      <c r="I82" s="87">
        <v>0</v>
      </c>
      <c r="J82" s="87">
        <v>0</v>
      </c>
      <c r="K82" s="133" t="e">
        <f>'POA-05'!#REF!</f>
        <v>#REF!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v>0</v>
      </c>
      <c r="AE82" s="87">
        <v>0</v>
      </c>
      <c r="AF82" s="87">
        <v>0</v>
      </c>
      <c r="AG82" s="87">
        <v>0</v>
      </c>
      <c r="AH82" s="87">
        <v>0</v>
      </c>
      <c r="AI82" s="87">
        <v>0</v>
      </c>
      <c r="AJ82" s="87" t="e">
        <f t="shared" si="8"/>
        <v>#REF!</v>
      </c>
    </row>
    <row r="83" spans="4:36" s="13" customFormat="1" ht="11.25">
      <c r="D83" s="85">
        <v>6000</v>
      </c>
      <c r="E83" s="83" t="s">
        <v>115</v>
      </c>
      <c r="F83" s="87"/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f t="shared" si="8"/>
        <v>0</v>
      </c>
    </row>
    <row r="84" spans="4:36" s="13" customFormat="1" ht="11.25">
      <c r="D84" s="85">
        <v>7000</v>
      </c>
      <c r="E84" s="83" t="s">
        <v>116</v>
      </c>
      <c r="F84" s="87"/>
      <c r="G84" s="87"/>
      <c r="H84" s="87">
        <v>0</v>
      </c>
      <c r="I84" s="87"/>
      <c r="J84" s="87">
        <v>0</v>
      </c>
      <c r="K84" s="87"/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v>0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7">
        <f t="shared" si="8"/>
        <v>0</v>
      </c>
    </row>
    <row r="85" spans="4:36" s="13" customFormat="1" ht="11.25">
      <c r="D85" s="113"/>
      <c r="E85" s="113" t="s">
        <v>29</v>
      </c>
      <c r="F85" s="86">
        <f aca="true" t="shared" si="9" ref="F85:L85">+F46+F49+F80+F81+F82+F83+F84</f>
        <v>1840000</v>
      </c>
      <c r="G85" s="86">
        <f t="shared" si="9"/>
        <v>439340000</v>
      </c>
      <c r="H85" s="86">
        <f t="shared" si="9"/>
        <v>3874042.9675</v>
      </c>
      <c r="I85" s="86">
        <f t="shared" si="9"/>
        <v>1540000</v>
      </c>
      <c r="J85" s="86">
        <f t="shared" si="9"/>
        <v>1840000</v>
      </c>
      <c r="K85" s="86" t="e">
        <f t="shared" si="9"/>
        <v>#REF!</v>
      </c>
      <c r="L85" s="86">
        <f t="shared" si="9"/>
        <v>3250000</v>
      </c>
      <c r="M85" s="86">
        <f aca="true" t="shared" si="10" ref="M85:U85">+M46+M49+M80+M81+M82+M83+M84</f>
        <v>0</v>
      </c>
      <c r="N85" s="86">
        <f t="shared" si="10"/>
        <v>450000</v>
      </c>
      <c r="O85" s="86">
        <f t="shared" si="10"/>
        <v>900000</v>
      </c>
      <c r="P85" s="86">
        <f t="shared" si="10"/>
        <v>0</v>
      </c>
      <c r="Q85" s="86">
        <f t="shared" si="10"/>
        <v>88243750</v>
      </c>
      <c r="R85" s="86">
        <f t="shared" si="10"/>
        <v>220493750</v>
      </c>
      <c r="S85" s="86">
        <f t="shared" si="10"/>
        <v>282957500</v>
      </c>
      <c r="T85" s="86">
        <f t="shared" si="10"/>
        <v>2857500</v>
      </c>
      <c r="U85" s="86">
        <f t="shared" si="10"/>
        <v>4457500</v>
      </c>
      <c r="V85" s="86">
        <f>+V46+V49+V80+V81+V82+V83+V84</f>
        <v>10608750</v>
      </c>
      <c r="W85" s="86">
        <f aca="true" t="shared" si="11" ref="W85:AI85">+W46+W49+W80+W81+W82+W83+W84</f>
        <v>5415000</v>
      </c>
      <c r="X85" s="86">
        <f t="shared" si="11"/>
        <v>52165000</v>
      </c>
      <c r="Y85" s="86">
        <f t="shared" si="11"/>
        <v>2723125</v>
      </c>
      <c r="Z85" s="86">
        <f t="shared" si="11"/>
        <v>3793125</v>
      </c>
      <c r="AA85" s="86">
        <f t="shared" si="11"/>
        <v>1550000</v>
      </c>
      <c r="AB85" s="86">
        <f t="shared" si="11"/>
        <v>1650000</v>
      </c>
      <c r="AC85" s="86">
        <f t="shared" si="11"/>
        <v>1750000</v>
      </c>
      <c r="AD85" s="86">
        <f t="shared" si="11"/>
        <v>1750000</v>
      </c>
      <c r="AE85" s="86">
        <f t="shared" si="11"/>
        <v>1850000</v>
      </c>
      <c r="AF85" s="86">
        <f t="shared" si="11"/>
        <v>500000</v>
      </c>
      <c r="AG85" s="86">
        <f t="shared" si="11"/>
        <v>4115658</v>
      </c>
      <c r="AH85" s="86">
        <f t="shared" si="11"/>
        <v>3500000</v>
      </c>
      <c r="AI85" s="86">
        <f t="shared" si="11"/>
        <v>3600000</v>
      </c>
      <c r="AJ85" s="86" t="e">
        <f>+AJ46+AJ49+AJ80+AJ81+AJ82+AJ83+AJ84</f>
        <v>#REF!</v>
      </c>
    </row>
    <row r="86" spans="4:36" s="13" customFormat="1" ht="11.25">
      <c r="D86" s="338" t="s">
        <v>214</v>
      </c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</row>
    <row r="87" spans="4:36" s="13" customFormat="1" ht="11.25"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</row>
    <row r="88" s="13" customFormat="1" ht="11.25"/>
    <row r="89" s="13" customFormat="1" ht="11.25"/>
    <row r="90" s="13" customFormat="1" ht="11.25"/>
    <row r="91" spans="13:15" s="13" customFormat="1" ht="11.25">
      <c r="M91" s="13">
        <v>3960000</v>
      </c>
      <c r="N91" s="13">
        <v>360</v>
      </c>
      <c r="O91" s="13">
        <v>50</v>
      </c>
    </row>
    <row r="92" s="13" customFormat="1" ht="11.25">
      <c r="O92" s="13">
        <v>50</v>
      </c>
    </row>
    <row r="93" s="13" customFormat="1" ht="11.25">
      <c r="O93" s="13">
        <v>20</v>
      </c>
    </row>
    <row r="94" s="13" customFormat="1" ht="11.25">
      <c r="O94" s="13">
        <v>20</v>
      </c>
    </row>
    <row r="95" s="13" customFormat="1" ht="11.25">
      <c r="O95" s="13">
        <v>20</v>
      </c>
    </row>
    <row r="96" s="13" customFormat="1" ht="11.25">
      <c r="O96" s="13">
        <v>90</v>
      </c>
    </row>
    <row r="97" s="13" customFormat="1" ht="11.25">
      <c r="O97" s="13">
        <v>40</v>
      </c>
    </row>
    <row r="98" s="13" customFormat="1" ht="11.25">
      <c r="O98" s="13">
        <v>40</v>
      </c>
    </row>
    <row r="99" s="13" customFormat="1" ht="11.25">
      <c r="O99" s="13">
        <v>15</v>
      </c>
    </row>
    <row r="100" s="13" customFormat="1" ht="11.25">
      <c r="O100" s="13">
        <v>15</v>
      </c>
    </row>
    <row r="101" s="13" customFormat="1" ht="11.25">
      <c r="O101" s="13">
        <f>SUM(O91:O100)</f>
        <v>360</v>
      </c>
    </row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</sheetData>
  <sheetProtection/>
  <mergeCells count="30">
    <mergeCell ref="D86:U86"/>
    <mergeCell ref="B27:C27"/>
    <mergeCell ref="B28:C28"/>
    <mergeCell ref="B29:C29"/>
    <mergeCell ref="D40:AJ40"/>
    <mergeCell ref="D41:AI41"/>
    <mergeCell ref="D42:AJ42"/>
    <mergeCell ref="D44:D45"/>
    <mergeCell ref="E44:E45"/>
    <mergeCell ref="F44:AI44"/>
    <mergeCell ref="AJ44:AJ45"/>
    <mergeCell ref="B16:C16"/>
    <mergeCell ref="B17:C17"/>
    <mergeCell ref="B30:C30"/>
    <mergeCell ref="B26:C26"/>
    <mergeCell ref="B21:C21"/>
    <mergeCell ref="B22:C22"/>
    <mergeCell ref="B23:C23"/>
    <mergeCell ref="B24:C24"/>
    <mergeCell ref="B25:C25"/>
    <mergeCell ref="B15:C15"/>
    <mergeCell ref="B18:C18"/>
    <mergeCell ref="B19:C19"/>
    <mergeCell ref="B20:C20"/>
    <mergeCell ref="B14:C14"/>
    <mergeCell ref="B13:C13"/>
    <mergeCell ref="A1:D1"/>
    <mergeCell ref="B10:C10"/>
    <mergeCell ref="B11:C11"/>
    <mergeCell ref="B12:C12"/>
  </mergeCells>
  <printOptions horizontalCentered="1" verticalCentered="1"/>
  <pageMargins left="0.3937007874015748" right="0.4330708661417323" top="1.5748031496062993" bottom="1.1811023622047245" header="0" footer="0.3937007874015748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="115" zoomScaleNormal="115" zoomScalePageLayoutView="0" workbookViewId="0" topLeftCell="A4">
      <selection activeCell="A33" sqref="A33"/>
    </sheetView>
  </sheetViews>
  <sheetFormatPr defaultColWidth="11.421875" defaultRowHeight="12.75"/>
  <cols>
    <col min="1" max="1" width="8.8515625" style="76" customWidth="1"/>
    <col min="2" max="2" width="26.57421875" style="76" customWidth="1"/>
    <col min="3" max="3" width="12.8515625" style="76" customWidth="1"/>
    <col min="4" max="4" width="10.28125" style="76" customWidth="1"/>
    <col min="5" max="5" width="11.00390625" style="76" customWidth="1"/>
    <col min="6" max="6" width="10.57421875" style="76" customWidth="1"/>
    <col min="7" max="7" width="10.7109375" style="76" customWidth="1"/>
    <col min="8" max="8" width="10.421875" style="76" customWidth="1"/>
    <col min="9" max="9" width="10.8515625" style="76" customWidth="1"/>
    <col min="10" max="10" width="11.140625" style="76" customWidth="1"/>
    <col min="11" max="11" width="9.8515625" style="76" customWidth="1"/>
    <col min="12" max="12" width="10.7109375" style="76" customWidth="1"/>
    <col min="13" max="13" width="11.00390625" style="76" customWidth="1"/>
    <col min="14" max="14" width="10.28125" style="76" customWidth="1"/>
    <col min="15" max="15" width="11.00390625" style="76" customWidth="1"/>
    <col min="16" max="16" width="11.7109375" style="76" customWidth="1"/>
    <col min="17" max="17" width="12.28125" style="76" bestFit="1" customWidth="1"/>
    <col min="18" max="16384" width="11.421875" style="76" customWidth="1"/>
  </cols>
  <sheetData>
    <row r="1" spans="1:16" ht="10.5">
      <c r="A1" s="339" t="str">
        <f>+'POA-01'!A1:J1</f>
        <v>PLAN OPERATIVO ANUAL -2009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s="77" customFormat="1" ht="21" customHeight="1">
      <c r="A2" s="298" t="s">
        <v>251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s="77" customFormat="1" ht="21" customHeight="1">
      <c r="A3" s="339" t="s">
        <v>119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6" ht="12" thickBot="1">
      <c r="A4" s="202" t="s">
        <v>117</v>
      </c>
      <c r="B4" s="203">
        <v>1139001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</row>
    <row r="5" spans="1:17" ht="12.75" customHeight="1" thickBot="1">
      <c r="A5" s="340"/>
      <c r="B5" s="342" t="s">
        <v>26</v>
      </c>
      <c r="C5" s="347" t="s">
        <v>151</v>
      </c>
      <c r="D5" s="344" t="s">
        <v>52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6"/>
      <c r="P5" s="336" t="s">
        <v>29</v>
      </c>
      <c r="Q5" s="101"/>
    </row>
    <row r="6" spans="1:17" ht="13.5" customHeight="1" thickBot="1">
      <c r="A6" s="341"/>
      <c r="B6" s="343"/>
      <c r="C6" s="348"/>
      <c r="D6" s="106" t="s">
        <v>54</v>
      </c>
      <c r="E6" s="107" t="s">
        <v>55</v>
      </c>
      <c r="F6" s="107" t="s">
        <v>56</v>
      </c>
      <c r="G6" s="107" t="s">
        <v>57</v>
      </c>
      <c r="H6" s="107" t="s">
        <v>58</v>
      </c>
      <c r="I6" s="107" t="s">
        <v>59</v>
      </c>
      <c r="J6" s="107" t="s">
        <v>60</v>
      </c>
      <c r="K6" s="107" t="s">
        <v>61</v>
      </c>
      <c r="L6" s="107" t="s">
        <v>62</v>
      </c>
      <c r="M6" s="107" t="s">
        <v>63</v>
      </c>
      <c r="N6" s="107" t="s">
        <v>64</v>
      </c>
      <c r="O6" s="108" t="s">
        <v>65</v>
      </c>
      <c r="P6" s="337"/>
      <c r="Q6" s="102" t="s">
        <v>150</v>
      </c>
    </row>
    <row r="7" spans="1:17" ht="10.5">
      <c r="A7" s="103">
        <v>1000</v>
      </c>
      <c r="B7" s="104" t="s">
        <v>66</v>
      </c>
      <c r="C7" s="105">
        <f aca="true" t="shared" si="0" ref="C7:O7">SUM(C8:C9)</f>
        <v>40635000</v>
      </c>
      <c r="D7" s="105">
        <f t="shared" si="0"/>
        <v>0</v>
      </c>
      <c r="E7" s="105">
        <f t="shared" si="0"/>
        <v>0</v>
      </c>
      <c r="F7" s="105">
        <f t="shared" si="0"/>
        <v>0</v>
      </c>
      <c r="G7" s="105">
        <f t="shared" si="0"/>
        <v>0</v>
      </c>
      <c r="H7" s="105">
        <f t="shared" si="0"/>
        <v>0</v>
      </c>
      <c r="I7" s="105">
        <f t="shared" si="0"/>
        <v>4200000</v>
      </c>
      <c r="J7" s="105">
        <f t="shared" si="0"/>
        <v>4200000</v>
      </c>
      <c r="K7" s="105">
        <f t="shared" si="0"/>
        <v>4200000</v>
      </c>
      <c r="L7" s="105">
        <f t="shared" si="0"/>
        <v>4200000</v>
      </c>
      <c r="M7" s="105">
        <f t="shared" si="0"/>
        <v>4200000</v>
      </c>
      <c r="N7" s="105">
        <f t="shared" si="0"/>
        <v>4200000</v>
      </c>
      <c r="O7" s="105">
        <f t="shared" si="0"/>
        <v>4200000</v>
      </c>
      <c r="P7" s="87">
        <f aca="true" t="shared" si="1" ref="P7:P45">SUM(D7:O7)</f>
        <v>29400000</v>
      </c>
      <c r="Q7" s="83">
        <f>+P7-C7</f>
        <v>-11235000</v>
      </c>
    </row>
    <row r="8" spans="1:17" ht="10.5">
      <c r="A8" s="83">
        <v>1001</v>
      </c>
      <c r="B8" s="83" t="s">
        <v>67</v>
      </c>
      <c r="C8" s="89">
        <f>+'POA-02'!J20</f>
        <v>40635000</v>
      </c>
      <c r="D8" s="89"/>
      <c r="E8" s="89"/>
      <c r="F8" s="89"/>
      <c r="G8" s="89"/>
      <c r="H8" s="89"/>
      <c r="I8" s="89">
        <v>4200000</v>
      </c>
      <c r="J8" s="89">
        <v>4200000</v>
      </c>
      <c r="K8" s="89">
        <v>4200000</v>
      </c>
      <c r="L8" s="89">
        <v>4200000</v>
      </c>
      <c r="M8" s="89">
        <v>4200000</v>
      </c>
      <c r="N8" s="89">
        <v>4200000</v>
      </c>
      <c r="O8" s="89">
        <v>4200000</v>
      </c>
      <c r="P8" s="87">
        <f t="shared" si="1"/>
        <v>29400000</v>
      </c>
      <c r="Q8" s="83">
        <f aca="true" t="shared" si="2" ref="Q8:Q45">+P8-C8</f>
        <v>-11235000</v>
      </c>
    </row>
    <row r="9" spans="1:17" ht="10.5">
      <c r="A9" s="83">
        <v>1002</v>
      </c>
      <c r="B9" s="83" t="s">
        <v>68</v>
      </c>
      <c r="C9" s="89">
        <f>+'POA-02'!J26</f>
        <v>0</v>
      </c>
      <c r="D9" s="89">
        <f>+C9/12</f>
        <v>0</v>
      </c>
      <c r="E9" s="89">
        <f>+C9/12</f>
        <v>0</v>
      </c>
      <c r="F9" s="89">
        <f>+C9/12</f>
        <v>0</v>
      </c>
      <c r="G9" s="89">
        <f>+C9/12</f>
        <v>0</v>
      </c>
      <c r="H9" s="89">
        <f>+C9/12</f>
        <v>0</v>
      </c>
      <c r="I9" s="89">
        <f>+C9/12</f>
        <v>0</v>
      </c>
      <c r="J9" s="89">
        <f>+C9/12</f>
        <v>0</v>
      </c>
      <c r="K9" s="89">
        <f>+C9/12</f>
        <v>0</v>
      </c>
      <c r="L9" s="89">
        <f>+C9/12</f>
        <v>0</v>
      </c>
      <c r="M9" s="89">
        <f>+C9/12</f>
        <v>0</v>
      </c>
      <c r="N9" s="89">
        <f>+C9/12</f>
        <v>0</v>
      </c>
      <c r="O9" s="89">
        <f>+C9/12</f>
        <v>0</v>
      </c>
      <c r="P9" s="87">
        <f t="shared" si="1"/>
        <v>0</v>
      </c>
      <c r="Q9" s="83">
        <f t="shared" si="2"/>
        <v>0</v>
      </c>
    </row>
    <row r="10" spans="1:17" ht="10.5">
      <c r="A10" s="85">
        <v>2000</v>
      </c>
      <c r="B10" s="83" t="s">
        <v>69</v>
      </c>
      <c r="C10" s="87">
        <f>+C11+C12+C16+C17+C21+C24+C28+C29+C30+C31+C32+C33+C34+C35+C36+C39+C40</f>
        <v>7654042.967499999</v>
      </c>
      <c r="D10" s="87">
        <f>+D11+D12+D16+D17+D21+D24+D28+D29+D30+D31+D32+D33+D34+D35+D36+D39+D40</f>
        <v>637836.9139583333</v>
      </c>
      <c r="E10" s="87">
        <f aca="true" t="shared" si="3" ref="E10:O10">+E11+E12+E16+E17+E21+E24+E28+E29+E30+E31+E32+E33+E34+E35+E36+E39+E40</f>
        <v>1132097.7472916665</v>
      </c>
      <c r="F10" s="87">
        <f t="shared" si="3"/>
        <v>1132097.7472916665</v>
      </c>
      <c r="G10" s="87">
        <f t="shared" si="3"/>
        <v>1132097.7472916665</v>
      </c>
      <c r="H10" s="87">
        <f t="shared" si="3"/>
        <v>1132097.7472916665</v>
      </c>
      <c r="I10" s="87">
        <f t="shared" si="3"/>
        <v>1132097.7472916665</v>
      </c>
      <c r="J10" s="87">
        <f t="shared" si="3"/>
        <v>1132097.7472916665</v>
      </c>
      <c r="K10" s="87">
        <f t="shared" si="3"/>
        <v>1132097.7472916665</v>
      </c>
      <c r="L10" s="87">
        <f t="shared" si="3"/>
        <v>1132097.7472916665</v>
      </c>
      <c r="M10" s="87">
        <f t="shared" si="3"/>
        <v>1132097.7472916665</v>
      </c>
      <c r="N10" s="87">
        <f t="shared" si="3"/>
        <v>1132097.7472916665</v>
      </c>
      <c r="O10" s="87">
        <f t="shared" si="3"/>
        <v>1132097.7472916665</v>
      </c>
      <c r="P10" s="87">
        <f t="shared" si="1"/>
        <v>13090912.134166662</v>
      </c>
      <c r="Q10" s="83">
        <f t="shared" si="2"/>
        <v>5436869.166666662</v>
      </c>
    </row>
    <row r="11" spans="1:17" ht="10.5">
      <c r="A11" s="83">
        <v>2001</v>
      </c>
      <c r="B11" s="83" t="s">
        <v>70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7">
        <f t="shared" si="1"/>
        <v>0</v>
      </c>
      <c r="Q11" s="83">
        <f t="shared" si="2"/>
        <v>0</v>
      </c>
    </row>
    <row r="12" spans="1:17" ht="10.5">
      <c r="A12" s="83">
        <v>2002</v>
      </c>
      <c r="B12" s="83" t="s">
        <v>158</v>
      </c>
      <c r="C12" s="89">
        <f>+C13+C14+C15</f>
        <v>2034042.9674999998</v>
      </c>
      <c r="D12" s="89">
        <f>+C12/12</f>
        <v>169503.58062499997</v>
      </c>
      <c r="E12" s="89">
        <f>+C12/12</f>
        <v>169503.58062499997</v>
      </c>
      <c r="F12" s="89">
        <v>169503.58062499997</v>
      </c>
      <c r="G12" s="89">
        <v>169503.58062499997</v>
      </c>
      <c r="H12" s="89">
        <v>169503.58062499997</v>
      </c>
      <c r="I12" s="89">
        <v>169503.58062499997</v>
      </c>
      <c r="J12" s="89">
        <v>169503.58062499997</v>
      </c>
      <c r="K12" s="89">
        <v>169503.58062499997</v>
      </c>
      <c r="L12" s="89">
        <v>169503.58062499997</v>
      </c>
      <c r="M12" s="89">
        <v>169503.58062499997</v>
      </c>
      <c r="N12" s="89">
        <v>169503.58062499997</v>
      </c>
      <c r="O12" s="89">
        <v>169503.58062499997</v>
      </c>
      <c r="P12" s="89">
        <f>SUM(D12:O12)</f>
        <v>2034042.9674999996</v>
      </c>
      <c r="Q12" s="83">
        <f t="shared" si="2"/>
        <v>0</v>
      </c>
    </row>
    <row r="13" spans="1:17" ht="10.5">
      <c r="A13" s="83" t="s">
        <v>72</v>
      </c>
      <c r="B13" s="83" t="s">
        <v>73</v>
      </c>
      <c r="C13" s="89">
        <f>+'POA-03'!H22</f>
        <v>2034042.9674999998</v>
      </c>
      <c r="D13" s="89">
        <f>+C13/12</f>
        <v>169503.58062499997</v>
      </c>
      <c r="E13" s="89">
        <f>+C13/12</f>
        <v>169503.58062499997</v>
      </c>
      <c r="F13" s="89">
        <v>169503.58062499997</v>
      </c>
      <c r="G13" s="89">
        <v>169503.58062499997</v>
      </c>
      <c r="H13" s="89">
        <v>169503.58062499997</v>
      </c>
      <c r="I13" s="89">
        <v>169503.58062499997</v>
      </c>
      <c r="J13" s="89">
        <v>169503.58062499997</v>
      </c>
      <c r="K13" s="89">
        <v>169503.58062499997</v>
      </c>
      <c r="L13" s="89">
        <v>169503.58062499997</v>
      </c>
      <c r="M13" s="89">
        <v>169503.58062499997</v>
      </c>
      <c r="N13" s="89">
        <v>169503.58062499997</v>
      </c>
      <c r="O13" s="89">
        <v>169503.58062499997</v>
      </c>
      <c r="P13" s="89">
        <f>SUM(D13:O13)</f>
        <v>2034042.9674999996</v>
      </c>
      <c r="Q13" s="83">
        <f t="shared" si="2"/>
        <v>0</v>
      </c>
    </row>
    <row r="14" spans="1:17" ht="10.5">
      <c r="A14" s="83" t="s">
        <v>74</v>
      </c>
      <c r="B14" s="83" t="s">
        <v>75</v>
      </c>
      <c r="C14" s="20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7">
        <f t="shared" si="1"/>
        <v>0</v>
      </c>
      <c r="Q14" s="83">
        <f t="shared" si="2"/>
        <v>0</v>
      </c>
    </row>
    <row r="15" spans="1:17" ht="10.5">
      <c r="A15" s="83" t="s">
        <v>76</v>
      </c>
      <c r="B15" s="83" t="s">
        <v>77</v>
      </c>
      <c r="C15" s="200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7">
        <f t="shared" si="1"/>
        <v>0</v>
      </c>
      <c r="Q15" s="83">
        <f t="shared" si="2"/>
        <v>0</v>
      </c>
    </row>
    <row r="16" spans="1:17" ht="10.5">
      <c r="A16" s="83">
        <v>2003</v>
      </c>
      <c r="B16" s="90" t="s">
        <v>78</v>
      </c>
      <c r="C16" s="20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7">
        <f t="shared" si="1"/>
        <v>0</v>
      </c>
      <c r="Q16" s="83">
        <f t="shared" si="2"/>
        <v>0</v>
      </c>
    </row>
    <row r="17" spans="1:17" ht="10.5">
      <c r="A17" s="83">
        <v>2004</v>
      </c>
      <c r="B17" s="83" t="s">
        <v>79</v>
      </c>
      <c r="C17" s="200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7">
        <f t="shared" si="1"/>
        <v>0</v>
      </c>
      <c r="Q17" s="83">
        <f t="shared" si="2"/>
        <v>0</v>
      </c>
    </row>
    <row r="18" spans="1:17" ht="10.5">
      <c r="A18" s="83" t="s">
        <v>80</v>
      </c>
      <c r="B18" s="83" t="s">
        <v>81</v>
      </c>
      <c r="C18" s="200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7">
        <f t="shared" si="1"/>
        <v>0</v>
      </c>
      <c r="Q18" s="83">
        <f t="shared" si="2"/>
        <v>0</v>
      </c>
    </row>
    <row r="19" spans="1:17" ht="10.5">
      <c r="A19" s="83" t="s">
        <v>82</v>
      </c>
      <c r="B19" s="83" t="s">
        <v>83</v>
      </c>
      <c r="C19" s="200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7">
        <f t="shared" si="1"/>
        <v>0</v>
      </c>
      <c r="Q19" s="83">
        <f t="shared" si="2"/>
        <v>0</v>
      </c>
    </row>
    <row r="20" spans="1:17" ht="10.5">
      <c r="A20" s="83" t="s">
        <v>84</v>
      </c>
      <c r="B20" s="83" t="s">
        <v>85</v>
      </c>
      <c r="C20" s="200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7">
        <f t="shared" si="1"/>
        <v>0</v>
      </c>
      <c r="Q20" s="83">
        <f t="shared" si="2"/>
        <v>0</v>
      </c>
    </row>
    <row r="21" spans="1:17" ht="10.5">
      <c r="A21" s="83">
        <v>2005</v>
      </c>
      <c r="B21" s="83" t="s">
        <v>86</v>
      </c>
      <c r="C21" s="200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7">
        <f t="shared" si="1"/>
        <v>0</v>
      </c>
      <c r="Q21" s="83">
        <f t="shared" si="2"/>
        <v>0</v>
      </c>
    </row>
    <row r="22" spans="1:17" ht="10.5">
      <c r="A22" s="83" t="s">
        <v>87</v>
      </c>
      <c r="B22" s="83" t="s">
        <v>88</v>
      </c>
      <c r="C22" s="200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7">
        <f t="shared" si="1"/>
        <v>0</v>
      </c>
      <c r="Q22" s="83">
        <f t="shared" si="2"/>
        <v>0</v>
      </c>
    </row>
    <row r="23" spans="1:17" ht="10.5">
      <c r="A23" s="83" t="s">
        <v>89</v>
      </c>
      <c r="B23" s="83" t="s">
        <v>90</v>
      </c>
      <c r="C23" s="200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7">
        <f t="shared" si="1"/>
        <v>0</v>
      </c>
      <c r="Q23" s="83">
        <f t="shared" si="2"/>
        <v>0</v>
      </c>
    </row>
    <row r="24" spans="1:17" ht="10.5">
      <c r="A24" s="83">
        <v>2006</v>
      </c>
      <c r="B24" s="83" t="s">
        <v>91</v>
      </c>
      <c r="C24" s="200">
        <f>+C25+C26</f>
        <v>5620000</v>
      </c>
      <c r="D24" s="200">
        <f aca="true" t="shared" si="4" ref="D24:O24">+D25+D26</f>
        <v>468333.3333333333</v>
      </c>
      <c r="E24" s="200">
        <f t="shared" si="4"/>
        <v>418750</v>
      </c>
      <c r="F24" s="200">
        <f t="shared" si="4"/>
        <v>418750</v>
      </c>
      <c r="G24" s="200">
        <f t="shared" si="4"/>
        <v>418750</v>
      </c>
      <c r="H24" s="200">
        <f t="shared" si="4"/>
        <v>418750</v>
      </c>
      <c r="I24" s="200">
        <f t="shared" si="4"/>
        <v>418750</v>
      </c>
      <c r="J24" s="200">
        <f t="shared" si="4"/>
        <v>418750</v>
      </c>
      <c r="K24" s="200">
        <f t="shared" si="4"/>
        <v>418750</v>
      </c>
      <c r="L24" s="200">
        <f t="shared" si="4"/>
        <v>418750</v>
      </c>
      <c r="M24" s="200">
        <f t="shared" si="4"/>
        <v>418750</v>
      </c>
      <c r="N24" s="200">
        <f t="shared" si="4"/>
        <v>418750</v>
      </c>
      <c r="O24" s="200">
        <f t="shared" si="4"/>
        <v>418750</v>
      </c>
      <c r="P24" s="89">
        <f t="shared" si="1"/>
        <v>5074583.333333333</v>
      </c>
      <c r="Q24" s="83">
        <f t="shared" si="2"/>
        <v>-545416.666666667</v>
      </c>
    </row>
    <row r="25" spans="1:17" ht="10.5">
      <c r="A25" s="83" t="s">
        <v>92</v>
      </c>
      <c r="B25" s="83" t="s">
        <v>93</v>
      </c>
      <c r="C25" s="200">
        <f>+VIATICOS!I15</f>
        <v>2400000</v>
      </c>
      <c r="D25" s="89">
        <f>+C25/12</f>
        <v>200000</v>
      </c>
      <c r="E25" s="89">
        <v>200000</v>
      </c>
      <c r="F25" s="89">
        <v>200000</v>
      </c>
      <c r="G25" s="89">
        <v>200000</v>
      </c>
      <c r="H25" s="89">
        <v>200000</v>
      </c>
      <c r="I25" s="89">
        <v>200000</v>
      </c>
      <c r="J25" s="89">
        <v>200000</v>
      </c>
      <c r="K25" s="89">
        <v>200000</v>
      </c>
      <c r="L25" s="89">
        <v>200000</v>
      </c>
      <c r="M25" s="89">
        <v>200000</v>
      </c>
      <c r="N25" s="89">
        <v>200000</v>
      </c>
      <c r="O25" s="89">
        <v>200000</v>
      </c>
      <c r="P25" s="89">
        <f t="shared" si="1"/>
        <v>2400000</v>
      </c>
      <c r="Q25" s="83">
        <f t="shared" si="2"/>
        <v>0</v>
      </c>
    </row>
    <row r="26" spans="1:17" ht="10.5">
      <c r="A26" s="83" t="s">
        <v>94</v>
      </c>
      <c r="B26" s="90" t="s">
        <v>149</v>
      </c>
      <c r="C26" s="89">
        <f>+VIATICOS!F15</f>
        <v>3220000</v>
      </c>
      <c r="D26" s="89">
        <f>+C26/12</f>
        <v>268333.3333333333</v>
      </c>
      <c r="E26" s="89">
        <v>218750</v>
      </c>
      <c r="F26" s="89">
        <v>218750</v>
      </c>
      <c r="G26" s="89">
        <v>218750</v>
      </c>
      <c r="H26" s="89">
        <v>218750</v>
      </c>
      <c r="I26" s="89">
        <v>218750</v>
      </c>
      <c r="J26" s="89">
        <v>218750</v>
      </c>
      <c r="K26" s="89">
        <v>218750</v>
      </c>
      <c r="L26" s="89">
        <v>218750</v>
      </c>
      <c r="M26" s="89">
        <v>218750</v>
      </c>
      <c r="N26" s="89">
        <v>218750</v>
      </c>
      <c r="O26" s="89">
        <v>218750</v>
      </c>
      <c r="P26" s="89">
        <f t="shared" si="1"/>
        <v>2674583.333333333</v>
      </c>
      <c r="Q26" s="83">
        <f t="shared" si="2"/>
        <v>-545416.666666667</v>
      </c>
    </row>
    <row r="27" spans="1:17" ht="10.5">
      <c r="A27" s="83" t="s">
        <v>95</v>
      </c>
      <c r="B27" s="83" t="s">
        <v>96</v>
      </c>
      <c r="C27" s="200"/>
      <c r="D27" s="200"/>
      <c r="E27" s="200"/>
      <c r="F27" s="200"/>
      <c r="G27" s="200"/>
      <c r="H27" s="200"/>
      <c r="I27" s="200"/>
      <c r="J27" s="200"/>
      <c r="K27" s="89"/>
      <c r="L27" s="89"/>
      <c r="M27" s="89"/>
      <c r="N27" s="89"/>
      <c r="O27" s="89"/>
      <c r="P27" s="87">
        <f t="shared" si="1"/>
        <v>0</v>
      </c>
      <c r="Q27" s="83">
        <f t="shared" si="2"/>
        <v>0</v>
      </c>
    </row>
    <row r="28" spans="1:17" ht="10.5">
      <c r="A28" s="83">
        <v>2007</v>
      </c>
      <c r="B28" s="90" t="s">
        <v>157</v>
      </c>
      <c r="C28" s="200"/>
      <c r="D28" s="200"/>
      <c r="E28" s="200"/>
      <c r="F28" s="200"/>
      <c r="G28" s="200"/>
      <c r="H28" s="200"/>
      <c r="I28" s="200"/>
      <c r="J28" s="200"/>
      <c r="K28" s="89"/>
      <c r="L28" s="89"/>
      <c r="M28" s="89"/>
      <c r="N28" s="89"/>
      <c r="O28" s="89"/>
      <c r="P28" s="87">
        <f t="shared" si="1"/>
        <v>0</v>
      </c>
      <c r="Q28" s="83">
        <f t="shared" si="2"/>
        <v>0</v>
      </c>
    </row>
    <row r="29" spans="1:17" ht="10.5">
      <c r="A29" s="83">
        <v>2008</v>
      </c>
      <c r="B29" s="90" t="s">
        <v>98</v>
      </c>
      <c r="C29" s="201"/>
      <c r="D29" s="201"/>
      <c r="E29" s="201"/>
      <c r="F29" s="201"/>
      <c r="G29" s="201"/>
      <c r="H29" s="201"/>
      <c r="I29" s="201"/>
      <c r="J29" s="201"/>
      <c r="K29" s="87"/>
      <c r="L29" s="87"/>
      <c r="M29" s="87"/>
      <c r="N29" s="87"/>
      <c r="O29" s="87"/>
      <c r="P29" s="87">
        <f t="shared" si="1"/>
        <v>0</v>
      </c>
      <c r="Q29" s="83">
        <f t="shared" si="2"/>
        <v>0</v>
      </c>
    </row>
    <row r="30" spans="1:17" ht="10.5">
      <c r="A30" s="83">
        <v>2009</v>
      </c>
      <c r="B30" s="83" t="s">
        <v>99</v>
      </c>
      <c r="C30" s="201"/>
      <c r="D30" s="201"/>
      <c r="E30" s="201"/>
      <c r="F30" s="201"/>
      <c r="G30" s="201"/>
      <c r="H30" s="201"/>
      <c r="I30" s="201"/>
      <c r="J30" s="201"/>
      <c r="K30" s="87"/>
      <c r="L30" s="87"/>
      <c r="M30" s="87"/>
      <c r="N30" s="87"/>
      <c r="O30" s="87"/>
      <c r="P30" s="87">
        <f t="shared" si="1"/>
        <v>0</v>
      </c>
      <c r="Q30" s="83">
        <f t="shared" si="2"/>
        <v>0</v>
      </c>
    </row>
    <row r="31" spans="1:17" ht="10.5">
      <c r="A31" s="83">
        <v>2010</v>
      </c>
      <c r="B31" s="90" t="s">
        <v>100</v>
      </c>
      <c r="C31" s="201"/>
      <c r="D31" s="201"/>
      <c r="E31" s="201"/>
      <c r="F31" s="201"/>
      <c r="G31" s="201"/>
      <c r="H31" s="201"/>
      <c r="I31" s="201"/>
      <c r="J31" s="201"/>
      <c r="K31" s="87"/>
      <c r="L31" s="87"/>
      <c r="M31" s="87"/>
      <c r="N31" s="87"/>
      <c r="O31" s="87"/>
      <c r="P31" s="87">
        <f t="shared" si="1"/>
        <v>0</v>
      </c>
      <c r="Q31" s="83">
        <f t="shared" si="2"/>
        <v>0</v>
      </c>
    </row>
    <row r="32" spans="1:17" ht="10.5">
      <c r="A32" s="83">
        <v>2011</v>
      </c>
      <c r="B32" s="83" t="s">
        <v>101</v>
      </c>
      <c r="C32" s="200">
        <f>+VIATICOS!L15</f>
        <v>0</v>
      </c>
      <c r="D32" s="200">
        <f>+C32/12</f>
        <v>0</v>
      </c>
      <c r="E32" s="200">
        <v>543844.1666666666</v>
      </c>
      <c r="F32" s="200">
        <v>543844.1666666666</v>
      </c>
      <c r="G32" s="200">
        <v>543844.1666666666</v>
      </c>
      <c r="H32" s="200">
        <v>543844.1666666666</v>
      </c>
      <c r="I32" s="200">
        <v>543844.1666666666</v>
      </c>
      <c r="J32" s="200">
        <v>543844.1666666666</v>
      </c>
      <c r="K32" s="89">
        <v>543844.1666666666</v>
      </c>
      <c r="L32" s="89">
        <v>543844.1666666666</v>
      </c>
      <c r="M32" s="89">
        <v>543844.1666666666</v>
      </c>
      <c r="N32" s="89">
        <v>543844.1666666666</v>
      </c>
      <c r="O32" s="89">
        <v>543844.1666666666</v>
      </c>
      <c r="P32" s="87">
        <f>SUM(D32:O32)</f>
        <v>5982285.833333334</v>
      </c>
      <c r="Q32" s="83">
        <f t="shared" si="2"/>
        <v>5982285.833333334</v>
      </c>
    </row>
    <row r="33" spans="1:17" ht="12.75" customHeight="1">
      <c r="A33" s="83">
        <v>2012</v>
      </c>
      <c r="B33" s="90" t="s">
        <v>102</v>
      </c>
      <c r="C33" s="201"/>
      <c r="D33" s="201"/>
      <c r="E33" s="201"/>
      <c r="F33" s="201"/>
      <c r="G33" s="201"/>
      <c r="H33" s="201"/>
      <c r="I33" s="201"/>
      <c r="J33" s="201"/>
      <c r="K33" s="87"/>
      <c r="L33" s="87"/>
      <c r="M33" s="87"/>
      <c r="N33" s="87"/>
      <c r="O33" s="87"/>
      <c r="P33" s="87">
        <f t="shared" si="1"/>
        <v>0</v>
      </c>
      <c r="Q33" s="83">
        <f t="shared" si="2"/>
        <v>0</v>
      </c>
    </row>
    <row r="34" spans="1:17" ht="10.5">
      <c r="A34" s="83">
        <v>2013</v>
      </c>
      <c r="B34" s="83" t="s">
        <v>103</v>
      </c>
      <c r="C34" s="201"/>
      <c r="D34" s="201"/>
      <c r="E34" s="201"/>
      <c r="F34" s="201"/>
      <c r="G34" s="201"/>
      <c r="H34" s="201"/>
      <c r="I34" s="201"/>
      <c r="J34" s="201"/>
      <c r="K34" s="87"/>
      <c r="L34" s="87"/>
      <c r="M34" s="87"/>
      <c r="N34" s="87"/>
      <c r="O34" s="87"/>
      <c r="P34" s="87">
        <f t="shared" si="1"/>
        <v>0</v>
      </c>
      <c r="Q34" s="83">
        <f t="shared" si="2"/>
        <v>0</v>
      </c>
    </row>
    <row r="35" spans="1:17" ht="10.5">
      <c r="A35" s="83">
        <v>2014</v>
      </c>
      <c r="B35" s="83" t="s">
        <v>104</v>
      </c>
      <c r="C35" s="201"/>
      <c r="D35" s="201"/>
      <c r="E35" s="201"/>
      <c r="F35" s="201"/>
      <c r="G35" s="201"/>
      <c r="H35" s="201"/>
      <c r="I35" s="201"/>
      <c r="J35" s="201"/>
      <c r="K35" s="87"/>
      <c r="L35" s="87"/>
      <c r="M35" s="87"/>
      <c r="N35" s="87"/>
      <c r="O35" s="87"/>
      <c r="P35" s="87">
        <f t="shared" si="1"/>
        <v>0</v>
      </c>
      <c r="Q35" s="83">
        <f t="shared" si="2"/>
        <v>0</v>
      </c>
    </row>
    <row r="36" spans="1:17" ht="10.5">
      <c r="A36" s="83">
        <v>2015</v>
      </c>
      <c r="B36" s="83" t="s">
        <v>105</v>
      </c>
      <c r="C36" s="201"/>
      <c r="D36" s="201"/>
      <c r="E36" s="201"/>
      <c r="F36" s="201"/>
      <c r="G36" s="201"/>
      <c r="H36" s="201"/>
      <c r="I36" s="201"/>
      <c r="J36" s="201"/>
      <c r="K36" s="87"/>
      <c r="L36" s="87"/>
      <c r="M36" s="87"/>
      <c r="N36" s="87"/>
      <c r="O36" s="87"/>
      <c r="P36" s="87">
        <f t="shared" si="1"/>
        <v>0</v>
      </c>
      <c r="Q36" s="83">
        <f t="shared" si="2"/>
        <v>0</v>
      </c>
    </row>
    <row r="37" spans="1:17" ht="10.5">
      <c r="A37" s="83" t="s">
        <v>106</v>
      </c>
      <c r="B37" s="83" t="s">
        <v>107</v>
      </c>
      <c r="C37" s="200"/>
      <c r="D37" s="200"/>
      <c r="E37" s="200"/>
      <c r="F37" s="200"/>
      <c r="G37" s="200"/>
      <c r="H37" s="200"/>
      <c r="I37" s="200"/>
      <c r="J37" s="200"/>
      <c r="K37" s="89"/>
      <c r="L37" s="89"/>
      <c r="M37" s="89"/>
      <c r="N37" s="89"/>
      <c r="O37" s="89"/>
      <c r="P37" s="87">
        <f t="shared" si="1"/>
        <v>0</v>
      </c>
      <c r="Q37" s="83">
        <f t="shared" si="2"/>
        <v>0</v>
      </c>
    </row>
    <row r="38" spans="1:17" ht="10.5">
      <c r="A38" s="83" t="s">
        <v>108</v>
      </c>
      <c r="B38" s="83" t="s">
        <v>109</v>
      </c>
      <c r="C38" s="200"/>
      <c r="D38" s="200"/>
      <c r="E38" s="200"/>
      <c r="F38" s="200"/>
      <c r="G38" s="200"/>
      <c r="H38" s="200"/>
      <c r="I38" s="200"/>
      <c r="J38" s="200"/>
      <c r="K38" s="89"/>
      <c r="L38" s="89"/>
      <c r="M38" s="89"/>
      <c r="N38" s="89"/>
      <c r="O38" s="89"/>
      <c r="P38" s="87">
        <f t="shared" si="1"/>
        <v>0</v>
      </c>
      <c r="Q38" s="83">
        <f t="shared" si="2"/>
        <v>0</v>
      </c>
    </row>
    <row r="39" spans="1:17" ht="10.5">
      <c r="A39" s="83">
        <v>2016</v>
      </c>
      <c r="B39" s="83" t="s">
        <v>110</v>
      </c>
      <c r="C39" s="200"/>
      <c r="D39" s="200"/>
      <c r="E39" s="200"/>
      <c r="F39" s="200"/>
      <c r="G39" s="200"/>
      <c r="H39" s="200"/>
      <c r="I39" s="200"/>
      <c r="J39" s="200"/>
      <c r="K39" s="89"/>
      <c r="L39" s="89"/>
      <c r="M39" s="89"/>
      <c r="N39" s="89"/>
      <c r="O39" s="89"/>
      <c r="P39" s="87">
        <f t="shared" si="1"/>
        <v>0</v>
      </c>
      <c r="Q39" s="83">
        <f t="shared" si="2"/>
        <v>0</v>
      </c>
    </row>
    <row r="40" spans="1:17" ht="10.5">
      <c r="A40" s="83">
        <v>2017</v>
      </c>
      <c r="B40" s="83" t="s">
        <v>111</v>
      </c>
      <c r="C40" s="200"/>
      <c r="D40" s="200"/>
      <c r="E40" s="200"/>
      <c r="F40" s="200"/>
      <c r="G40" s="200"/>
      <c r="H40" s="200"/>
      <c r="I40" s="200"/>
      <c r="J40" s="200"/>
      <c r="K40" s="89"/>
      <c r="L40" s="89"/>
      <c r="M40" s="89"/>
      <c r="N40" s="89"/>
      <c r="O40" s="89"/>
      <c r="P40" s="87">
        <f t="shared" si="1"/>
        <v>0</v>
      </c>
      <c r="Q40" s="83">
        <f t="shared" si="2"/>
        <v>0</v>
      </c>
    </row>
    <row r="41" spans="1:17" ht="10.5">
      <c r="A41" s="85">
        <v>3000</v>
      </c>
      <c r="B41" s="83" t="s">
        <v>112</v>
      </c>
      <c r="C41" s="201"/>
      <c r="D41" s="201"/>
      <c r="E41" s="201"/>
      <c r="F41" s="201"/>
      <c r="G41" s="201"/>
      <c r="H41" s="201"/>
      <c r="I41" s="201"/>
      <c r="J41" s="201"/>
      <c r="K41" s="87"/>
      <c r="L41" s="87"/>
      <c r="M41" s="87"/>
      <c r="N41" s="87"/>
      <c r="O41" s="87"/>
      <c r="P41" s="87">
        <f t="shared" si="1"/>
        <v>0</v>
      </c>
      <c r="Q41" s="83">
        <f t="shared" si="2"/>
        <v>0</v>
      </c>
    </row>
    <row r="42" spans="1:17" ht="10.5">
      <c r="A42" s="85">
        <v>4000</v>
      </c>
      <c r="B42" s="83" t="s">
        <v>113</v>
      </c>
      <c r="C42" s="201">
        <f>+'POA-05'!C24</f>
        <v>195000000</v>
      </c>
      <c r="D42" s="201"/>
      <c r="E42" s="201">
        <v>165000000</v>
      </c>
      <c r="F42" s="201"/>
      <c r="G42" s="201">
        <v>10000000</v>
      </c>
      <c r="H42" s="201"/>
      <c r="I42" s="201">
        <v>10000000</v>
      </c>
      <c r="J42" s="201"/>
      <c r="K42" s="87">
        <v>10000000</v>
      </c>
      <c r="L42" s="87"/>
      <c r="M42" s="87"/>
      <c r="N42" s="87"/>
      <c r="O42" s="87"/>
      <c r="P42" s="87">
        <f t="shared" si="1"/>
        <v>195000000</v>
      </c>
      <c r="Q42" s="83">
        <f t="shared" si="2"/>
        <v>0</v>
      </c>
    </row>
    <row r="43" spans="1:17" ht="10.5">
      <c r="A43" s="85">
        <v>5000</v>
      </c>
      <c r="B43" s="83" t="s">
        <v>114</v>
      </c>
      <c r="C43" s="201">
        <f>+'POA-05'!C16</f>
        <v>240000000</v>
      </c>
      <c r="D43" s="201"/>
      <c r="E43" s="201">
        <v>140000000</v>
      </c>
      <c r="F43" s="201"/>
      <c r="G43" s="201">
        <v>50000000</v>
      </c>
      <c r="H43" s="201"/>
      <c r="I43" s="201"/>
      <c r="J43" s="201">
        <v>50000000</v>
      </c>
      <c r="K43" s="87"/>
      <c r="L43" s="87"/>
      <c r="M43" s="87"/>
      <c r="N43" s="87"/>
      <c r="O43" s="87"/>
      <c r="P43" s="87">
        <f t="shared" si="1"/>
        <v>240000000</v>
      </c>
      <c r="Q43" s="83">
        <f t="shared" si="2"/>
        <v>0</v>
      </c>
    </row>
    <row r="44" spans="1:17" ht="10.5">
      <c r="A44" s="85">
        <v>6000</v>
      </c>
      <c r="B44" s="83" t="s">
        <v>115</v>
      </c>
      <c r="C44" s="201"/>
      <c r="D44" s="201"/>
      <c r="E44" s="201"/>
      <c r="F44" s="201"/>
      <c r="G44" s="201"/>
      <c r="H44" s="201"/>
      <c r="I44" s="201"/>
      <c r="J44" s="201"/>
      <c r="K44" s="87"/>
      <c r="L44" s="87"/>
      <c r="M44" s="87"/>
      <c r="N44" s="87"/>
      <c r="O44" s="87"/>
      <c r="P44" s="87">
        <f t="shared" si="1"/>
        <v>0</v>
      </c>
      <c r="Q44" s="83">
        <f t="shared" si="2"/>
        <v>0</v>
      </c>
    </row>
    <row r="45" spans="1:17" ht="10.5">
      <c r="A45" s="85">
        <v>7000</v>
      </c>
      <c r="B45" s="83" t="s">
        <v>116</v>
      </c>
      <c r="C45" s="201"/>
      <c r="D45" s="201"/>
      <c r="E45" s="201"/>
      <c r="F45" s="201"/>
      <c r="G45" s="201"/>
      <c r="H45" s="201"/>
      <c r="I45" s="201"/>
      <c r="J45" s="201"/>
      <c r="K45" s="87"/>
      <c r="L45" s="87"/>
      <c r="M45" s="87"/>
      <c r="N45" s="87"/>
      <c r="O45" s="87"/>
      <c r="P45" s="87">
        <f t="shared" si="1"/>
        <v>0</v>
      </c>
      <c r="Q45" s="83">
        <f t="shared" si="2"/>
        <v>0</v>
      </c>
    </row>
    <row r="46" spans="1:17" ht="10.5">
      <c r="A46" s="113"/>
      <c r="B46" s="113" t="s">
        <v>29</v>
      </c>
      <c r="C46" s="86">
        <f>+C7+C10+C41+C42+C43+C44+C45</f>
        <v>483289042.9675</v>
      </c>
      <c r="D46" s="86">
        <f aca="true" t="shared" si="5" ref="D46:O46">+D7+D10+D41+D42+D43+D44+D45</f>
        <v>637836.9139583333</v>
      </c>
      <c r="E46" s="86">
        <f t="shared" si="5"/>
        <v>306132097.7472917</v>
      </c>
      <c r="F46" s="86">
        <f>+F7+F10+F41+F42+F43+F44+F45</f>
        <v>1132097.7472916665</v>
      </c>
      <c r="G46" s="86">
        <f t="shared" si="5"/>
        <v>61132097.74729167</v>
      </c>
      <c r="H46" s="86">
        <f t="shared" si="5"/>
        <v>1132097.7472916665</v>
      </c>
      <c r="I46" s="86">
        <f>+I7+I10+I41+I42+I43+I44+I45</f>
        <v>15332097.747291666</v>
      </c>
      <c r="J46" s="86">
        <f t="shared" si="5"/>
        <v>55332097.74729167</v>
      </c>
      <c r="K46" s="86">
        <f t="shared" si="5"/>
        <v>15332097.747291666</v>
      </c>
      <c r="L46" s="86">
        <f t="shared" si="5"/>
        <v>5332097.747291666</v>
      </c>
      <c r="M46" s="86">
        <f t="shared" si="5"/>
        <v>5332097.747291666</v>
      </c>
      <c r="N46" s="86">
        <f t="shared" si="5"/>
        <v>5332097.747291666</v>
      </c>
      <c r="O46" s="86">
        <f t="shared" si="5"/>
        <v>5332097.747291666</v>
      </c>
      <c r="P46" s="86">
        <f>+P7+P10+P41+P42+P43+P44+P45</f>
        <v>477490912.13416666</v>
      </c>
      <c r="Q46" s="83">
        <v>0</v>
      </c>
    </row>
    <row r="47" spans="2:16" ht="10.5">
      <c r="B47" s="76" t="s">
        <v>249</v>
      </c>
      <c r="C47" s="207">
        <v>567908000</v>
      </c>
      <c r="P47" s="207">
        <f>+'POA-06'!C7</f>
        <v>0</v>
      </c>
    </row>
    <row r="48" spans="2:16" ht="10.5">
      <c r="B48" s="76" t="s">
        <v>312</v>
      </c>
      <c r="C48" s="247">
        <f>+C47-C46</f>
        <v>84618957.03250003</v>
      </c>
      <c r="P48" s="207"/>
    </row>
    <row r="51" spans="4:24" ht="11.25">
      <c r="D51" s="127"/>
      <c r="E51" s="127"/>
      <c r="F51" s="127"/>
      <c r="G51" s="127"/>
      <c r="H51" s="127"/>
      <c r="I51" s="127"/>
      <c r="J51" s="204"/>
      <c r="K51" s="204"/>
      <c r="L51" s="204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4:24" ht="11.25">
      <c r="D52" s="114"/>
      <c r="E52" s="114"/>
      <c r="F52" s="114"/>
      <c r="G52" s="127"/>
      <c r="H52" s="127"/>
      <c r="I52" s="127"/>
      <c r="J52" s="204"/>
      <c r="K52" s="204"/>
      <c r="L52" s="204"/>
      <c r="M52" s="127"/>
      <c r="N52" s="127"/>
      <c r="O52" s="127"/>
      <c r="P52" s="114"/>
      <c r="Q52" s="122"/>
      <c r="R52" s="127"/>
      <c r="S52" s="114"/>
      <c r="T52" s="127"/>
      <c r="U52" s="127"/>
      <c r="V52" s="122"/>
      <c r="W52" s="127"/>
      <c r="X52" s="114"/>
    </row>
    <row r="53" spans="10:12" ht="10.5">
      <c r="J53" s="205"/>
      <c r="K53" s="205"/>
      <c r="L53" s="205"/>
    </row>
    <row r="54" spans="4:24" ht="11.25">
      <c r="D54" s="122"/>
      <c r="E54" s="123"/>
      <c r="F54" s="124"/>
      <c r="G54" s="124"/>
      <c r="H54" s="124"/>
      <c r="I54" s="124"/>
      <c r="J54" s="206"/>
      <c r="K54" s="206"/>
      <c r="L54" s="206"/>
      <c r="M54" s="124"/>
      <c r="N54" s="124"/>
      <c r="O54" s="124"/>
      <c r="P54" s="124"/>
      <c r="Q54" s="125"/>
      <c r="R54" s="125"/>
      <c r="S54" s="125"/>
      <c r="T54" s="124"/>
      <c r="U54" s="124"/>
      <c r="V54" s="126"/>
      <c r="W54" s="124"/>
      <c r="X54" s="124"/>
    </row>
    <row r="55" spans="10:12" ht="10.5">
      <c r="J55" s="205"/>
      <c r="K55" s="205"/>
      <c r="L55" s="205"/>
    </row>
    <row r="56" spans="4:24" ht="11.25">
      <c r="D56" s="122"/>
      <c r="E56" s="123"/>
      <c r="F56" s="124"/>
      <c r="G56" s="124"/>
      <c r="H56" s="124"/>
      <c r="I56" s="124"/>
      <c r="J56" s="206"/>
      <c r="K56" s="206"/>
      <c r="L56" s="206"/>
      <c r="M56" s="124"/>
      <c r="N56" s="124"/>
      <c r="O56" s="124"/>
      <c r="P56" s="124"/>
      <c r="Q56" s="125"/>
      <c r="R56" s="125"/>
      <c r="S56" s="125"/>
      <c r="T56" s="124"/>
      <c r="U56" s="124"/>
      <c r="V56" s="126"/>
      <c r="W56" s="124"/>
      <c r="X56" s="124"/>
    </row>
    <row r="57" spans="10:12" ht="10.5">
      <c r="J57" s="205"/>
      <c r="K57" s="205"/>
      <c r="L57" s="205"/>
    </row>
    <row r="58" spans="22:24" ht="11.25">
      <c r="V58" s="126"/>
      <c r="W58" s="124"/>
      <c r="X58" s="124"/>
    </row>
    <row r="60" spans="22:24" ht="10.5">
      <c r="V60" s="128"/>
      <c r="W60" s="128"/>
      <c r="X60" s="128"/>
    </row>
    <row r="62" spans="22:24" ht="11.25">
      <c r="V62" s="126"/>
      <c r="W62" s="124"/>
      <c r="X62" s="124"/>
    </row>
    <row r="65" spans="22:24" ht="11.25">
      <c r="V65" s="126"/>
      <c r="W65" s="124"/>
      <c r="X65" s="124"/>
    </row>
    <row r="69" spans="22:24" ht="11.25">
      <c r="V69" s="126"/>
      <c r="W69" s="124"/>
      <c r="X69" s="124"/>
    </row>
  </sheetData>
  <sheetProtection/>
  <mergeCells count="8">
    <mergeCell ref="A1:P1"/>
    <mergeCell ref="A3:P3"/>
    <mergeCell ref="D5:O5"/>
    <mergeCell ref="A5:A6"/>
    <mergeCell ref="B5:B6"/>
    <mergeCell ref="C5:C6"/>
    <mergeCell ref="P5:P6"/>
    <mergeCell ref="A2:P2"/>
  </mergeCells>
  <printOptions horizontalCentered="1" verticalCentered="1"/>
  <pageMargins left="0.4724409448818898" right="0.4330708661417323" top="1.535433070866142" bottom="1.5748031496062993" header="0" footer="0.1968503937007874"/>
  <pageSetup horizontalDpi="600" verticalDpi="600" orientation="landscape" paperSize="5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K55"/>
  <sheetViews>
    <sheetView zoomScalePageLayoutView="0" workbookViewId="0" topLeftCell="A13">
      <selection activeCell="E47" sqref="E47"/>
    </sheetView>
  </sheetViews>
  <sheetFormatPr defaultColWidth="11.421875" defaultRowHeight="12.75"/>
  <cols>
    <col min="2" max="2" width="30.00390625" style="0" customWidth="1"/>
    <col min="3" max="3" width="14.140625" style="0" bestFit="1" customWidth="1"/>
    <col min="4" max="4" width="12.140625" style="0" bestFit="1" customWidth="1"/>
    <col min="5" max="5" width="13.00390625" style="0" bestFit="1" customWidth="1"/>
  </cols>
  <sheetData>
    <row r="5" spans="1:9" ht="12.75">
      <c r="A5" s="339" t="str">
        <f>+'POA-01'!A1:J1</f>
        <v>PLAN OPERATIVO ANUAL -2009</v>
      </c>
      <c r="B5" s="339"/>
      <c r="C5" s="339"/>
      <c r="D5" s="339"/>
      <c r="E5" s="339"/>
      <c r="F5" s="339"/>
      <c r="G5" s="339"/>
      <c r="H5" s="339"/>
      <c r="I5" s="339"/>
    </row>
    <row r="6" spans="1:9" ht="12.75">
      <c r="A6" s="298" t="s">
        <v>251</v>
      </c>
      <c r="B6" s="298"/>
      <c r="C6" s="298"/>
      <c r="D6" s="298"/>
      <c r="E6" s="298"/>
      <c r="F6" s="298"/>
      <c r="G6" s="298"/>
      <c r="H6" s="298"/>
      <c r="I6" s="77"/>
    </row>
    <row r="7" spans="1:9" ht="12.75">
      <c r="A7" s="339" t="s">
        <v>119</v>
      </c>
      <c r="B7" s="339"/>
      <c r="C7" s="339"/>
      <c r="D7" s="339"/>
      <c r="E7" s="339"/>
      <c r="F7" s="339"/>
      <c r="G7" s="339"/>
      <c r="H7" s="339"/>
      <c r="I7" s="339"/>
    </row>
    <row r="8" spans="1:9" ht="13.5" thickBot="1">
      <c r="A8" s="202" t="s">
        <v>252</v>
      </c>
      <c r="B8" s="203">
        <v>1139001</v>
      </c>
      <c r="C8" s="80"/>
      <c r="D8" s="80"/>
      <c r="E8" s="80"/>
      <c r="F8" s="80"/>
      <c r="G8" s="80"/>
      <c r="H8" s="80"/>
      <c r="I8" s="81"/>
    </row>
    <row r="9" spans="1:9" ht="13.5" thickBot="1">
      <c r="A9" s="340"/>
      <c r="B9" s="342" t="s">
        <v>26</v>
      </c>
      <c r="C9" s="344" t="s">
        <v>161</v>
      </c>
      <c r="D9" s="345"/>
      <c r="E9" s="345"/>
      <c r="F9" s="345"/>
      <c r="G9" s="345"/>
      <c r="H9" s="345"/>
      <c r="I9" s="336" t="s">
        <v>29</v>
      </c>
    </row>
    <row r="10" spans="1:9" ht="13.5" thickBot="1">
      <c r="A10" s="341"/>
      <c r="B10" s="343"/>
      <c r="C10" s="106" t="s">
        <v>162</v>
      </c>
      <c r="D10" s="106" t="s">
        <v>163</v>
      </c>
      <c r="E10" s="106" t="s">
        <v>164</v>
      </c>
      <c r="F10" s="106" t="s">
        <v>165</v>
      </c>
      <c r="G10" s="106" t="s">
        <v>166</v>
      </c>
      <c r="H10" s="106" t="s">
        <v>167</v>
      </c>
      <c r="I10" s="337"/>
    </row>
    <row r="11" spans="1:9" ht="12.75">
      <c r="A11" s="103">
        <v>1000</v>
      </c>
      <c r="B11" s="104" t="s">
        <v>66</v>
      </c>
      <c r="C11" s="105">
        <f aca="true" t="shared" si="0" ref="C11:H11">SUM(C12:C13)</f>
        <v>18900000</v>
      </c>
      <c r="D11" s="105">
        <f t="shared" si="0"/>
        <v>23481515</v>
      </c>
      <c r="E11" s="105">
        <f t="shared" si="0"/>
        <v>13322765</v>
      </c>
      <c r="F11" s="105">
        <f t="shared" si="0"/>
        <v>18402140</v>
      </c>
      <c r="G11" s="105">
        <f t="shared" si="0"/>
        <v>18402140</v>
      </c>
      <c r="H11" s="105">
        <f t="shared" si="0"/>
        <v>13322765</v>
      </c>
      <c r="I11" s="87">
        <f aca="true" t="shared" si="1" ref="I11:I39">SUM(C11:H11)</f>
        <v>105831325</v>
      </c>
    </row>
    <row r="12" spans="1:9" ht="12.75">
      <c r="A12" s="83">
        <v>1001</v>
      </c>
      <c r="B12" s="83" t="s">
        <v>67</v>
      </c>
      <c r="C12" s="89">
        <f>37800000/2</f>
        <v>18900000</v>
      </c>
      <c r="D12" s="89">
        <f>+'POA-02'!J20/4</f>
        <v>10158750</v>
      </c>
      <c r="E12" s="89"/>
      <c r="F12" s="89">
        <f>+'POA-02'!J20/8</f>
        <v>5079375</v>
      </c>
      <c r="G12" s="89">
        <f>+'POA-02'!J20/8</f>
        <v>5079375</v>
      </c>
      <c r="H12" s="89">
        <v>0</v>
      </c>
      <c r="I12" s="87">
        <f t="shared" si="1"/>
        <v>39217500</v>
      </c>
    </row>
    <row r="13" spans="1:9" ht="12.75">
      <c r="A13" s="83">
        <v>1002</v>
      </c>
      <c r="B13" s="83" t="s">
        <v>68</v>
      </c>
      <c r="C13" s="89">
        <f>+'POA-02'!J21/6</f>
        <v>0</v>
      </c>
      <c r="D13" s="362">
        <v>13322765</v>
      </c>
      <c r="E13" s="362">
        <v>13322765</v>
      </c>
      <c r="F13" s="89">
        <v>13322765</v>
      </c>
      <c r="G13" s="89">
        <v>13322765</v>
      </c>
      <c r="H13" s="89">
        <v>13322765</v>
      </c>
      <c r="I13" s="87">
        <f t="shared" si="1"/>
        <v>66613825</v>
      </c>
    </row>
    <row r="14" spans="1:10" ht="12.75">
      <c r="A14" s="85">
        <v>2000</v>
      </c>
      <c r="B14" s="83" t="s">
        <v>69</v>
      </c>
      <c r="C14" s="87">
        <f>+'POA-06'!D11/6</f>
        <v>936666.6666666666</v>
      </c>
      <c r="D14" s="363">
        <v>2189561.1666666665</v>
      </c>
      <c r="E14" s="363">
        <v>2189561.1666666665</v>
      </c>
      <c r="F14" s="87">
        <v>2189561.1666666665</v>
      </c>
      <c r="G14" s="87">
        <v>2189561.1666666665</v>
      </c>
      <c r="H14" s="87">
        <v>2189561.1666666665</v>
      </c>
      <c r="I14" s="87">
        <f t="shared" si="1"/>
        <v>11884472.499999998</v>
      </c>
      <c r="J14" s="208"/>
    </row>
    <row r="15" spans="1:9" ht="12.75">
      <c r="A15" s="83">
        <v>2001</v>
      </c>
      <c r="B15" s="83" t="s">
        <v>70</v>
      </c>
      <c r="C15" s="89">
        <v>0</v>
      </c>
      <c r="D15" s="89"/>
      <c r="E15" s="131"/>
      <c r="F15" s="89"/>
      <c r="G15" s="89">
        <v>0</v>
      </c>
      <c r="H15" s="89"/>
      <c r="I15" s="87">
        <f t="shared" si="1"/>
        <v>0</v>
      </c>
    </row>
    <row r="16" spans="1:9" ht="12.75">
      <c r="A16" s="83">
        <v>2002</v>
      </c>
      <c r="B16" s="83" t="s">
        <v>158</v>
      </c>
      <c r="C16" s="89"/>
      <c r="D16" s="89"/>
      <c r="E16" s="89"/>
      <c r="F16" s="89"/>
      <c r="G16" s="89"/>
      <c r="H16" s="89"/>
      <c r="I16" s="87">
        <f t="shared" si="1"/>
        <v>0</v>
      </c>
    </row>
    <row r="17" spans="1:10" ht="12.75">
      <c r="A17" s="83" t="s">
        <v>72</v>
      </c>
      <c r="B17" s="83" t="s">
        <v>73</v>
      </c>
      <c r="C17" s="89">
        <f>+'POA-03'!H22/6</f>
        <v>339007.16124999995</v>
      </c>
      <c r="D17" s="362">
        <v>339007</v>
      </c>
      <c r="E17" s="362">
        <v>339007</v>
      </c>
      <c r="F17" s="89">
        <v>339007</v>
      </c>
      <c r="G17" s="89">
        <v>339007</v>
      </c>
      <c r="H17" s="89">
        <v>339007</v>
      </c>
      <c r="I17" s="87">
        <f t="shared" si="1"/>
        <v>2034042.16125</v>
      </c>
      <c r="J17" s="208"/>
    </row>
    <row r="18" spans="1:9" ht="12.75">
      <c r="A18" s="83" t="s">
        <v>74</v>
      </c>
      <c r="B18" s="83" t="s">
        <v>75</v>
      </c>
      <c r="C18" s="89"/>
      <c r="D18" s="89"/>
      <c r="E18" s="89"/>
      <c r="F18" s="89"/>
      <c r="G18" s="89"/>
      <c r="H18" s="89"/>
      <c r="I18" s="87">
        <f t="shared" si="1"/>
        <v>0</v>
      </c>
    </row>
    <row r="19" spans="1:9" ht="12.75">
      <c r="A19" s="83" t="s">
        <v>76</v>
      </c>
      <c r="B19" s="83" t="s">
        <v>77</v>
      </c>
      <c r="C19" s="89"/>
      <c r="D19" s="89"/>
      <c r="E19" s="89"/>
      <c r="F19" s="89"/>
      <c r="G19" s="89"/>
      <c r="H19" s="89"/>
      <c r="I19" s="87">
        <f t="shared" si="1"/>
        <v>0</v>
      </c>
    </row>
    <row r="20" spans="1:9" ht="12.75">
      <c r="A20" s="83">
        <v>2003</v>
      </c>
      <c r="B20" s="90" t="s">
        <v>78</v>
      </c>
      <c r="C20" s="89">
        <v>0</v>
      </c>
      <c r="D20" s="89"/>
      <c r="E20" s="89">
        <v>0</v>
      </c>
      <c r="F20" s="89">
        <v>0</v>
      </c>
      <c r="G20" s="89"/>
      <c r="H20" s="89">
        <v>0</v>
      </c>
      <c r="I20" s="87">
        <f t="shared" si="1"/>
        <v>0</v>
      </c>
    </row>
    <row r="21" spans="1:9" ht="12.75">
      <c r="A21" s="83">
        <v>2004</v>
      </c>
      <c r="B21" s="83" t="s">
        <v>79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7">
        <f t="shared" si="1"/>
        <v>0</v>
      </c>
    </row>
    <row r="22" spans="1:9" ht="12.75">
      <c r="A22" s="83" t="s">
        <v>80</v>
      </c>
      <c r="B22" s="83" t="s">
        <v>81</v>
      </c>
      <c r="C22" s="89"/>
      <c r="D22" s="89"/>
      <c r="E22" s="89"/>
      <c r="F22" s="89"/>
      <c r="G22" s="89"/>
      <c r="H22" s="89"/>
      <c r="I22" s="87">
        <f t="shared" si="1"/>
        <v>0</v>
      </c>
    </row>
    <row r="23" spans="1:9" ht="12.75">
      <c r="A23" s="83" t="s">
        <v>82</v>
      </c>
      <c r="B23" s="83" t="s">
        <v>83</v>
      </c>
      <c r="C23" s="89"/>
      <c r="D23" s="89"/>
      <c r="E23" s="89"/>
      <c r="F23" s="89"/>
      <c r="G23" s="89"/>
      <c r="H23" s="89"/>
      <c r="I23" s="87">
        <f t="shared" si="1"/>
        <v>0</v>
      </c>
    </row>
    <row r="24" spans="1:9" ht="12.75">
      <c r="A24" s="83" t="s">
        <v>84</v>
      </c>
      <c r="B24" s="83" t="s">
        <v>85</v>
      </c>
      <c r="C24" s="89"/>
      <c r="D24" s="89"/>
      <c r="E24" s="89"/>
      <c r="F24" s="89"/>
      <c r="G24" s="89"/>
      <c r="H24" s="89"/>
      <c r="I24" s="87">
        <f t="shared" si="1"/>
        <v>0</v>
      </c>
    </row>
    <row r="25" spans="1:9" ht="12.75">
      <c r="A25" s="83">
        <v>2005</v>
      </c>
      <c r="B25" s="83" t="s">
        <v>86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7">
        <f t="shared" si="1"/>
        <v>0</v>
      </c>
    </row>
    <row r="26" spans="1:9" ht="12.75">
      <c r="A26" s="83" t="s">
        <v>87</v>
      </c>
      <c r="B26" s="83" t="s">
        <v>88</v>
      </c>
      <c r="C26" s="89"/>
      <c r="D26" s="89"/>
      <c r="E26" s="89"/>
      <c r="F26" s="89"/>
      <c r="G26" s="89"/>
      <c r="H26" s="89"/>
      <c r="I26" s="87">
        <f t="shared" si="1"/>
        <v>0</v>
      </c>
    </row>
    <row r="27" spans="1:9" ht="12.75">
      <c r="A27" s="83" t="s">
        <v>89</v>
      </c>
      <c r="B27" s="83" t="s">
        <v>90</v>
      </c>
      <c r="C27" s="89"/>
      <c r="D27" s="89"/>
      <c r="E27" s="89"/>
      <c r="F27" s="89"/>
      <c r="G27" s="89"/>
      <c r="H27" s="89"/>
      <c r="I27" s="87">
        <f t="shared" si="1"/>
        <v>0</v>
      </c>
    </row>
    <row r="28" spans="1:9" ht="12.75">
      <c r="A28" s="83">
        <v>2006</v>
      </c>
      <c r="B28" s="83" t="s">
        <v>91</v>
      </c>
      <c r="C28" s="89">
        <f aca="true" t="shared" si="2" ref="C28:H28">+C29+C30+C31</f>
        <v>875000</v>
      </c>
      <c r="D28" s="89">
        <f t="shared" si="2"/>
        <v>700000</v>
      </c>
      <c r="E28" s="89">
        <f t="shared" si="2"/>
        <v>2925000</v>
      </c>
      <c r="F28" s="89">
        <f t="shared" si="2"/>
        <v>700000</v>
      </c>
      <c r="G28" s="89">
        <f t="shared" si="2"/>
        <v>210000</v>
      </c>
      <c r="H28" s="89">
        <f t="shared" si="2"/>
        <v>210000</v>
      </c>
      <c r="I28" s="87">
        <f t="shared" si="1"/>
        <v>5620000</v>
      </c>
    </row>
    <row r="29" spans="1:9" ht="12.75">
      <c r="A29" s="83" t="s">
        <v>92</v>
      </c>
      <c r="B29" s="83" t="s">
        <v>93</v>
      </c>
      <c r="C29" s="89">
        <f>+VIATICOS!I8</f>
        <v>0</v>
      </c>
      <c r="D29" s="89"/>
      <c r="E29" s="362">
        <v>2400000</v>
      </c>
      <c r="F29" s="89">
        <f>+VIATICOS!I11</f>
        <v>0</v>
      </c>
      <c r="G29" s="89">
        <f>+VIATICOS!I12</f>
        <v>0</v>
      </c>
      <c r="H29" s="89">
        <v>0</v>
      </c>
      <c r="I29" s="87">
        <f t="shared" si="1"/>
        <v>2400000</v>
      </c>
    </row>
    <row r="30" spans="1:11" ht="12.75">
      <c r="A30" s="83" t="s">
        <v>94</v>
      </c>
      <c r="B30" s="90" t="s">
        <v>149</v>
      </c>
      <c r="C30" s="362">
        <v>875000</v>
      </c>
      <c r="D30" s="89">
        <f>+VIATICOS!F9</f>
        <v>700000</v>
      </c>
      <c r="E30" s="89">
        <f>+VIATICOS!F10</f>
        <v>525000</v>
      </c>
      <c r="F30" s="89">
        <f>+VIATICOS!F11</f>
        <v>700000</v>
      </c>
      <c r="G30" s="89">
        <f>+VIATICOS!F12</f>
        <v>210000</v>
      </c>
      <c r="H30" s="89">
        <f>+VIATICOS!F13</f>
        <v>210000</v>
      </c>
      <c r="I30" s="87">
        <f t="shared" si="1"/>
        <v>3220000</v>
      </c>
      <c r="J30" s="208"/>
      <c r="K30" s="208"/>
    </row>
    <row r="31" spans="1:9" ht="12.75">
      <c r="A31" s="83" t="s">
        <v>95</v>
      </c>
      <c r="B31" s="83" t="s">
        <v>96</v>
      </c>
      <c r="C31" s="89"/>
      <c r="D31" s="89"/>
      <c r="E31" s="89"/>
      <c r="F31" s="89"/>
      <c r="G31" s="89"/>
      <c r="H31" s="89"/>
      <c r="I31" s="87">
        <f t="shared" si="1"/>
        <v>0</v>
      </c>
    </row>
    <row r="32" spans="1:9" ht="12.75">
      <c r="A32" s="83">
        <v>2007</v>
      </c>
      <c r="B32" s="90" t="s">
        <v>157</v>
      </c>
      <c r="C32" s="89">
        <v>0</v>
      </c>
      <c r="D32" s="133"/>
      <c r="E32" s="89">
        <v>0</v>
      </c>
      <c r="F32" s="89"/>
      <c r="G32" s="89">
        <v>0</v>
      </c>
      <c r="H32" s="89">
        <v>0</v>
      </c>
      <c r="I32" s="87">
        <f t="shared" si="1"/>
        <v>0</v>
      </c>
    </row>
    <row r="33" spans="1:9" ht="12.75">
      <c r="A33" s="83">
        <v>2008</v>
      </c>
      <c r="B33" s="90" t="s">
        <v>98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7">
        <f t="shared" si="1"/>
        <v>0</v>
      </c>
    </row>
    <row r="34" spans="1:9" ht="12.75">
      <c r="A34" s="83">
        <v>2009</v>
      </c>
      <c r="B34" s="83" t="s">
        <v>99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7">
        <f t="shared" si="1"/>
        <v>0</v>
      </c>
    </row>
    <row r="35" spans="1:9" ht="12.75">
      <c r="A35" s="83">
        <v>2010</v>
      </c>
      <c r="B35" s="90" t="s">
        <v>100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7">
        <f t="shared" si="1"/>
        <v>0</v>
      </c>
    </row>
    <row r="36" spans="1:11" ht="12.75">
      <c r="A36" s="83">
        <v>2011</v>
      </c>
      <c r="B36" s="83" t="s">
        <v>101</v>
      </c>
      <c r="C36" s="362">
        <v>2000000</v>
      </c>
      <c r="D36" s="362">
        <v>1400000</v>
      </c>
      <c r="E36" s="89">
        <f>+VIATICOS!L10</f>
        <v>0</v>
      </c>
      <c r="F36" s="89">
        <f>+VIATICOS!L11</f>
        <v>0</v>
      </c>
      <c r="G36" s="89">
        <v>550000</v>
      </c>
      <c r="H36" s="89">
        <f>+VIATICOS!L13</f>
        <v>0</v>
      </c>
      <c r="I36" s="87">
        <f t="shared" si="1"/>
        <v>3950000</v>
      </c>
      <c r="J36" s="208"/>
      <c r="K36" s="208"/>
    </row>
    <row r="37" spans="1:9" ht="12.75">
      <c r="A37" s="83">
        <v>2012</v>
      </c>
      <c r="B37" s="90" t="s">
        <v>102</v>
      </c>
      <c r="C37" s="89">
        <v>0</v>
      </c>
      <c r="D37" s="89"/>
      <c r="E37" s="89">
        <v>0</v>
      </c>
      <c r="F37" s="89">
        <v>0</v>
      </c>
      <c r="G37" s="89"/>
      <c r="H37" s="89">
        <v>0</v>
      </c>
      <c r="I37" s="87">
        <f t="shared" si="1"/>
        <v>0</v>
      </c>
    </row>
    <row r="38" spans="1:9" ht="12.75">
      <c r="A38" s="83">
        <v>2013</v>
      </c>
      <c r="B38" s="83" t="s">
        <v>103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7">
        <f t="shared" si="1"/>
        <v>0</v>
      </c>
    </row>
    <row r="39" spans="1:9" ht="12.75">
      <c r="A39" s="83">
        <v>2014</v>
      </c>
      <c r="B39" s="83" t="s">
        <v>104</v>
      </c>
      <c r="C39" s="89"/>
      <c r="D39" s="89"/>
      <c r="E39" s="89"/>
      <c r="F39" s="89"/>
      <c r="G39" s="89"/>
      <c r="H39" s="89"/>
      <c r="I39" s="87">
        <f t="shared" si="1"/>
        <v>0</v>
      </c>
    </row>
    <row r="40" spans="1:9" ht="12.75">
      <c r="A40" s="83">
        <v>2015</v>
      </c>
      <c r="B40" s="83" t="s">
        <v>105</v>
      </c>
      <c r="C40" s="13"/>
      <c r="D40" s="89"/>
      <c r="E40" s="89"/>
      <c r="F40" s="131"/>
      <c r="G40" s="89"/>
      <c r="H40" s="89"/>
      <c r="I40" s="87">
        <f>SUM(D40:H40)</f>
        <v>0</v>
      </c>
    </row>
    <row r="41" spans="1:9" ht="12.75">
      <c r="A41" s="83" t="s">
        <v>106</v>
      </c>
      <c r="B41" s="83" t="s">
        <v>107</v>
      </c>
      <c r="C41" s="89"/>
      <c r="D41" s="89"/>
      <c r="E41" s="89"/>
      <c r="F41" s="89"/>
      <c r="G41" s="89"/>
      <c r="H41" s="89"/>
      <c r="I41" s="87"/>
    </row>
    <row r="42" spans="1:9" ht="12.75">
      <c r="A42" s="83" t="s">
        <v>108</v>
      </c>
      <c r="B42" s="83" t="s">
        <v>109</v>
      </c>
      <c r="C42" s="89"/>
      <c r="D42" s="89"/>
      <c r="E42" s="89"/>
      <c r="F42" s="89"/>
      <c r="G42" s="89"/>
      <c r="H42" s="89"/>
      <c r="I42" s="87">
        <f aca="true" t="shared" si="3" ref="I42:I50">SUM(C42:H42)</f>
        <v>0</v>
      </c>
    </row>
    <row r="43" spans="1:9" ht="12.75">
      <c r="A43" s="83">
        <v>2016</v>
      </c>
      <c r="B43" s="83" t="s">
        <v>110</v>
      </c>
      <c r="C43" s="89">
        <v>0</v>
      </c>
      <c r="D43" s="89">
        <v>0</v>
      </c>
      <c r="E43" s="89">
        <v>0</v>
      </c>
      <c r="F43" s="89">
        <v>0</v>
      </c>
      <c r="G43" s="89"/>
      <c r="H43" s="89">
        <v>0</v>
      </c>
      <c r="I43" s="87">
        <f t="shared" si="3"/>
        <v>0</v>
      </c>
    </row>
    <row r="44" spans="1:9" ht="12.75">
      <c r="A44" s="83">
        <v>2017</v>
      </c>
      <c r="B44" s="83" t="s">
        <v>111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7">
        <f t="shared" si="3"/>
        <v>0</v>
      </c>
    </row>
    <row r="45" spans="1:9" ht="12.75">
      <c r="A45" s="85">
        <v>3000</v>
      </c>
      <c r="B45" s="83" t="s">
        <v>112</v>
      </c>
      <c r="C45" s="87"/>
      <c r="D45" s="87"/>
      <c r="E45" s="87"/>
      <c r="F45" s="87"/>
      <c r="G45" s="87"/>
      <c r="H45" s="87"/>
      <c r="I45" s="87">
        <f t="shared" si="3"/>
        <v>0</v>
      </c>
    </row>
    <row r="46" spans="1:9" ht="12.75">
      <c r="A46" s="85">
        <v>4000</v>
      </c>
      <c r="B46" s="83" t="s">
        <v>113</v>
      </c>
      <c r="C46" s="200"/>
      <c r="D46" s="208"/>
      <c r="E46" s="362">
        <v>165000000</v>
      </c>
      <c r="F46" s="89">
        <v>10000000</v>
      </c>
      <c r="G46" s="89">
        <v>10000000</v>
      </c>
      <c r="H46" s="89">
        <v>10000000</v>
      </c>
      <c r="I46" s="87">
        <f t="shared" si="3"/>
        <v>195000000</v>
      </c>
    </row>
    <row r="47" spans="1:9" ht="12.75">
      <c r="A47" s="85">
        <v>5000</v>
      </c>
      <c r="B47" s="83" t="s">
        <v>114</v>
      </c>
      <c r="C47" s="363">
        <v>100000000</v>
      </c>
      <c r="D47" s="362">
        <v>40000000</v>
      </c>
      <c r="E47" s="362">
        <v>100000000</v>
      </c>
      <c r="F47" s="87"/>
      <c r="G47" s="87"/>
      <c r="H47" s="200"/>
      <c r="I47" s="87">
        <f t="shared" si="3"/>
        <v>240000000</v>
      </c>
    </row>
    <row r="48" spans="1:9" ht="12.75">
      <c r="A48" s="85">
        <v>6000</v>
      </c>
      <c r="B48" s="83" t="s">
        <v>115</v>
      </c>
      <c r="C48" s="87"/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f t="shared" si="3"/>
        <v>0</v>
      </c>
    </row>
    <row r="49" spans="1:9" ht="12.75">
      <c r="A49" s="85">
        <v>7000</v>
      </c>
      <c r="B49" s="83" t="s">
        <v>116</v>
      </c>
      <c r="C49" s="87"/>
      <c r="D49" s="87"/>
      <c r="E49" s="87">
        <v>0</v>
      </c>
      <c r="F49" s="87"/>
      <c r="G49" s="87">
        <v>0</v>
      </c>
      <c r="H49" s="87"/>
      <c r="I49" s="87">
        <f t="shared" si="3"/>
        <v>0</v>
      </c>
    </row>
    <row r="50" spans="1:9" ht="12.75">
      <c r="A50" s="113"/>
      <c r="B50" s="113" t="s">
        <v>29</v>
      </c>
      <c r="C50" s="86">
        <f aca="true" t="shared" si="4" ref="C50:H50">+C11+C14+C46+C47+C17</f>
        <v>120175673.82791667</v>
      </c>
      <c r="D50" s="86">
        <f t="shared" si="4"/>
        <v>66010083.16666667</v>
      </c>
      <c r="E50" s="86">
        <f t="shared" si="4"/>
        <v>280851333.1666666</v>
      </c>
      <c r="F50" s="86">
        <f t="shared" si="4"/>
        <v>30930708.166666668</v>
      </c>
      <c r="G50" s="86">
        <f t="shared" si="4"/>
        <v>30930708.166666668</v>
      </c>
      <c r="H50" s="86">
        <f t="shared" si="4"/>
        <v>25851333.166666664</v>
      </c>
      <c r="I50" s="86">
        <f t="shared" si="3"/>
        <v>554749839.66125</v>
      </c>
    </row>
    <row r="51" spans="1:9" ht="12.75">
      <c r="A51" s="338"/>
      <c r="B51" s="338"/>
      <c r="C51" s="338"/>
      <c r="D51" s="338"/>
      <c r="E51" s="338"/>
      <c r="F51" s="338"/>
      <c r="G51" s="338"/>
      <c r="H51" s="338"/>
      <c r="I51" s="79">
        <f>+'POA-01'!D5</f>
        <v>567908000</v>
      </c>
    </row>
    <row r="52" ht="12.75">
      <c r="I52" s="208">
        <f>+I51-I50</f>
        <v>13158160.338750005</v>
      </c>
    </row>
    <row r="55" ht="12.75">
      <c r="E55" s="208">
        <f>+E47-13008000</f>
        <v>86992000</v>
      </c>
    </row>
  </sheetData>
  <sheetProtection/>
  <mergeCells count="8">
    <mergeCell ref="A51:H51"/>
    <mergeCell ref="A5:I5"/>
    <mergeCell ref="A6:H6"/>
    <mergeCell ref="A7:I7"/>
    <mergeCell ref="A9:A10"/>
    <mergeCell ref="B9:B10"/>
    <mergeCell ref="C9:H9"/>
    <mergeCell ref="I9:I10"/>
  </mergeCells>
  <printOptions horizontalCentered="1" verticalCentered="1"/>
  <pageMargins left="0.3937007874015748" right="0.31496062992125984" top="1.4960629921259843" bottom="0.3937007874015748" header="0.31496062992125984" footer="0.31496062992125984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1.421875" defaultRowHeight="12.75"/>
  <cols>
    <col min="1" max="1" width="5.140625" style="0" customWidth="1"/>
    <col min="2" max="2" width="31.00390625" style="0" customWidth="1"/>
    <col min="3" max="3" width="24.57421875" style="0" customWidth="1"/>
    <col min="4" max="4" width="5.8515625" style="0" customWidth="1"/>
    <col min="5" max="5" width="8.00390625" style="0" customWidth="1"/>
    <col min="6" max="6" width="10.140625" style="0" customWidth="1"/>
    <col min="7" max="7" width="6.140625" style="0" customWidth="1"/>
    <col min="8" max="8" width="7.57421875" style="0" customWidth="1"/>
    <col min="9" max="10" width="9.140625" style="0" customWidth="1"/>
    <col min="12" max="12" width="10.140625" style="0" customWidth="1"/>
    <col min="13" max="13" width="11.8515625" style="0" customWidth="1"/>
    <col min="14" max="14" width="5.00390625" style="0" customWidth="1"/>
  </cols>
  <sheetData>
    <row r="1" spans="1:13" ht="18">
      <c r="A1" s="259" t="str">
        <f>+'POA-01'!A1:J1</f>
        <v>PLAN OPERATIVO ANUAL -2009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3" spans="1:14" ht="16.5" customHeight="1">
      <c r="A3" s="14" t="s">
        <v>7</v>
      </c>
      <c r="B3" s="14"/>
      <c r="C3" s="316" t="e">
        <f>'POA-01'!D3:H3</f>
        <v>#VALUE!</v>
      </c>
      <c r="D3" s="316"/>
      <c r="E3" s="316"/>
      <c r="F3" s="316"/>
      <c r="G3" s="316"/>
      <c r="H3" s="356" t="str">
        <f>'POA-01'!I3</f>
        <v>CODIGO</v>
      </c>
      <c r="I3" s="356"/>
      <c r="J3" s="357">
        <f>'POA-01'!J3</f>
        <v>1139001</v>
      </c>
      <c r="K3" s="357"/>
      <c r="L3" s="76"/>
      <c r="M3" s="76"/>
      <c r="N3" s="76"/>
    </row>
    <row r="4" spans="1:14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76"/>
      <c r="L4" s="76"/>
      <c r="M4" s="76"/>
      <c r="N4" s="76"/>
    </row>
    <row r="5" spans="1:14" ht="12.75">
      <c r="A5" s="350" t="s">
        <v>161</v>
      </c>
      <c r="B5" s="351"/>
      <c r="C5" s="352"/>
      <c r="D5" s="349" t="s">
        <v>91</v>
      </c>
      <c r="E5" s="349"/>
      <c r="F5" s="349"/>
      <c r="G5" s="349"/>
      <c r="H5" s="349"/>
      <c r="I5" s="349"/>
      <c r="J5" s="349"/>
      <c r="K5" s="349"/>
      <c r="L5" s="110"/>
      <c r="M5" s="110"/>
      <c r="N5" s="76"/>
    </row>
    <row r="6" spans="1:14" ht="31.5">
      <c r="A6" s="353"/>
      <c r="B6" s="354"/>
      <c r="C6" s="355"/>
      <c r="D6" s="174" t="s">
        <v>185</v>
      </c>
      <c r="E6" s="174" t="s">
        <v>187</v>
      </c>
      <c r="F6" s="174" t="s">
        <v>192</v>
      </c>
      <c r="G6" s="174" t="s">
        <v>186</v>
      </c>
      <c r="H6" s="174" t="s">
        <v>188</v>
      </c>
      <c r="I6" s="174" t="s">
        <v>193</v>
      </c>
      <c r="J6" s="174" t="s">
        <v>194</v>
      </c>
      <c r="K6" s="174" t="s">
        <v>189</v>
      </c>
      <c r="L6" s="181" t="s">
        <v>190</v>
      </c>
      <c r="M6" s="180" t="s">
        <v>191</v>
      </c>
      <c r="N6" s="76"/>
    </row>
    <row r="7" spans="1:14" ht="12.75">
      <c r="A7" s="129"/>
      <c r="B7" s="129"/>
      <c r="C7" s="129"/>
      <c r="D7" s="129"/>
      <c r="E7" s="76"/>
      <c r="F7" s="129"/>
      <c r="G7" s="129"/>
      <c r="H7" s="76"/>
      <c r="I7" s="129"/>
      <c r="J7" s="129"/>
      <c r="K7" s="76"/>
      <c r="L7" s="76"/>
      <c r="M7" s="76"/>
      <c r="N7" s="76"/>
    </row>
    <row r="8" spans="1:14" ht="24">
      <c r="A8" s="159">
        <v>1</v>
      </c>
      <c r="B8" s="160" t="s">
        <v>241</v>
      </c>
      <c r="C8" s="161" t="s">
        <v>235</v>
      </c>
      <c r="D8" s="175">
        <v>20</v>
      </c>
      <c r="E8" s="177">
        <v>35000</v>
      </c>
      <c r="F8" s="175">
        <f aca="true" t="shared" si="0" ref="F8:F14">+D8*E8</f>
        <v>700000</v>
      </c>
      <c r="G8" s="175">
        <v>0</v>
      </c>
      <c r="H8" s="177">
        <v>120000</v>
      </c>
      <c r="I8" s="175">
        <f aca="true" t="shared" si="1" ref="I8:I14">+G8*H8</f>
        <v>0</v>
      </c>
      <c r="J8" s="179">
        <f aca="true" t="shared" si="2" ref="J8:J14">+D8+G8</f>
        <v>20</v>
      </c>
      <c r="K8" s="178">
        <f aca="true" t="shared" si="3" ref="K8:K14">+F8+I8</f>
        <v>700000</v>
      </c>
      <c r="L8" s="196"/>
      <c r="M8" s="245"/>
      <c r="N8" s="19"/>
    </row>
    <row r="9" spans="1:14" ht="24">
      <c r="A9" s="159">
        <v>2</v>
      </c>
      <c r="B9" s="160" t="s">
        <v>246</v>
      </c>
      <c r="C9" s="161" t="s">
        <v>235</v>
      </c>
      <c r="D9" s="176">
        <v>20</v>
      </c>
      <c r="E9" s="177">
        <v>35000</v>
      </c>
      <c r="F9" s="175">
        <f t="shared" si="0"/>
        <v>700000</v>
      </c>
      <c r="G9" s="176">
        <v>0</v>
      </c>
      <c r="H9" s="177">
        <v>120000</v>
      </c>
      <c r="I9" s="175">
        <f t="shared" si="1"/>
        <v>0</v>
      </c>
      <c r="J9" s="179">
        <f t="shared" si="2"/>
        <v>20</v>
      </c>
      <c r="K9" s="178">
        <f t="shared" si="3"/>
        <v>700000</v>
      </c>
      <c r="L9" s="196"/>
      <c r="M9" s="245"/>
      <c r="N9" s="19"/>
    </row>
    <row r="10" spans="1:14" ht="36">
      <c r="A10" s="159">
        <v>3</v>
      </c>
      <c r="B10" s="160" t="s">
        <v>242</v>
      </c>
      <c r="C10" s="161" t="s">
        <v>235</v>
      </c>
      <c r="D10" s="176">
        <v>15</v>
      </c>
      <c r="E10" s="177">
        <v>35000</v>
      </c>
      <c r="F10" s="175">
        <f t="shared" si="0"/>
        <v>525000</v>
      </c>
      <c r="G10" s="176">
        <v>0</v>
      </c>
      <c r="H10" s="177">
        <v>120000</v>
      </c>
      <c r="I10" s="175">
        <f t="shared" si="1"/>
        <v>0</v>
      </c>
      <c r="J10" s="179">
        <f t="shared" si="2"/>
        <v>15</v>
      </c>
      <c r="K10" s="178">
        <f t="shared" si="3"/>
        <v>525000</v>
      </c>
      <c r="L10" s="196"/>
      <c r="M10" s="245"/>
      <c r="N10" s="19"/>
    </row>
    <row r="11" spans="1:14" ht="24">
      <c r="A11" s="159">
        <v>4</v>
      </c>
      <c r="B11" s="160" t="s">
        <v>243</v>
      </c>
      <c r="C11" s="161" t="s">
        <v>235</v>
      </c>
      <c r="D11" s="176">
        <v>20</v>
      </c>
      <c r="E11" s="177">
        <v>35000</v>
      </c>
      <c r="F11" s="175">
        <f t="shared" si="0"/>
        <v>700000</v>
      </c>
      <c r="G11" s="176">
        <v>0</v>
      </c>
      <c r="H11" s="177">
        <v>120000</v>
      </c>
      <c r="I11" s="175">
        <f t="shared" si="1"/>
        <v>0</v>
      </c>
      <c r="J11" s="179">
        <f t="shared" si="2"/>
        <v>20</v>
      </c>
      <c r="K11" s="178">
        <f t="shared" si="3"/>
        <v>700000</v>
      </c>
      <c r="L11" s="196"/>
      <c r="M11" s="245"/>
      <c r="N11" s="19"/>
    </row>
    <row r="12" spans="1:14" ht="48">
      <c r="A12" s="159">
        <v>5</v>
      </c>
      <c r="B12" s="164" t="s">
        <v>244</v>
      </c>
      <c r="C12" s="165" t="s">
        <v>235</v>
      </c>
      <c r="D12" s="176">
        <v>6</v>
      </c>
      <c r="E12" s="177">
        <v>35000</v>
      </c>
      <c r="F12" s="175">
        <f t="shared" si="0"/>
        <v>210000</v>
      </c>
      <c r="G12" s="176">
        <v>0</v>
      </c>
      <c r="H12" s="177">
        <v>120000</v>
      </c>
      <c r="I12" s="175">
        <f t="shared" si="1"/>
        <v>0</v>
      </c>
      <c r="J12" s="179">
        <f t="shared" si="2"/>
        <v>6</v>
      </c>
      <c r="K12" s="178">
        <f t="shared" si="3"/>
        <v>210000</v>
      </c>
      <c r="L12" s="196"/>
      <c r="M12" s="245"/>
      <c r="N12" s="19"/>
    </row>
    <row r="13" spans="1:15" ht="36">
      <c r="A13" s="159">
        <v>6</v>
      </c>
      <c r="B13" s="160" t="s">
        <v>245</v>
      </c>
      <c r="C13" s="165" t="s">
        <v>235</v>
      </c>
      <c r="D13" s="176">
        <v>6</v>
      </c>
      <c r="E13" s="177">
        <v>35000</v>
      </c>
      <c r="F13" s="175">
        <f t="shared" si="0"/>
        <v>210000</v>
      </c>
      <c r="G13" s="176">
        <v>10</v>
      </c>
      <c r="H13" s="177">
        <v>120000</v>
      </c>
      <c r="I13" s="175">
        <f t="shared" si="1"/>
        <v>1200000</v>
      </c>
      <c r="J13" s="179">
        <f t="shared" si="2"/>
        <v>16</v>
      </c>
      <c r="K13" s="178">
        <f t="shared" si="3"/>
        <v>1410000</v>
      </c>
      <c r="L13" s="196"/>
      <c r="M13" s="245"/>
      <c r="N13" s="19"/>
      <c r="O13" s="208"/>
    </row>
    <row r="14" spans="1:14" ht="36">
      <c r="A14" s="159">
        <v>7</v>
      </c>
      <c r="B14" s="169" t="s">
        <v>247</v>
      </c>
      <c r="C14" s="170" t="s">
        <v>248</v>
      </c>
      <c r="D14" s="176">
        <v>5</v>
      </c>
      <c r="E14" s="177">
        <v>35000</v>
      </c>
      <c r="F14" s="175">
        <f t="shared" si="0"/>
        <v>175000</v>
      </c>
      <c r="G14" s="176">
        <v>10</v>
      </c>
      <c r="H14" s="177">
        <v>120000</v>
      </c>
      <c r="I14" s="175">
        <f t="shared" si="1"/>
        <v>1200000</v>
      </c>
      <c r="J14" s="179">
        <f t="shared" si="2"/>
        <v>15</v>
      </c>
      <c r="K14" s="178">
        <f t="shared" si="3"/>
        <v>1375000</v>
      </c>
      <c r="L14" s="245"/>
      <c r="M14" s="178"/>
      <c r="N14" s="19"/>
    </row>
    <row r="15" spans="1:14" ht="12.75">
      <c r="A15" s="76"/>
      <c r="B15" s="197" t="s">
        <v>29</v>
      </c>
      <c r="C15" s="76"/>
      <c r="D15" s="76"/>
      <c r="E15" s="76"/>
      <c r="F15" s="81">
        <f>SUM(F8:F14)</f>
        <v>3220000</v>
      </c>
      <c r="G15" s="173"/>
      <c r="H15" s="173"/>
      <c r="I15" s="81">
        <f>SUM(I8:I14)</f>
        <v>2400000</v>
      </c>
      <c r="J15" s="173"/>
      <c r="K15" s="81">
        <f>SUM(K8:K14)</f>
        <v>5620000</v>
      </c>
      <c r="L15" s="81">
        <f>SUM(L8:L14)</f>
        <v>0</v>
      </c>
      <c r="M15" s="81">
        <f>SUM(M8:M14)</f>
        <v>0</v>
      </c>
      <c r="N15" s="76"/>
    </row>
    <row r="17" ht="12.75">
      <c r="C17" s="198"/>
    </row>
  </sheetData>
  <sheetProtection/>
  <mergeCells count="6">
    <mergeCell ref="D5:K5"/>
    <mergeCell ref="A5:C6"/>
    <mergeCell ref="A1:M1"/>
    <mergeCell ref="C3:G3"/>
    <mergeCell ref="H3:I3"/>
    <mergeCell ref="J3:K3"/>
  </mergeCells>
  <printOptions horizontalCentered="1" verticalCentered="1"/>
  <pageMargins left="0.5118110236220472" right="0.5118110236220472" top="1.5748031496062993" bottom="0.35433070866141736" header="0" footer="0.5118110236220472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PEDRO MEJIA</cp:lastModifiedBy>
  <cp:lastPrinted>2009-03-25T15:18:01Z</cp:lastPrinted>
  <dcterms:created xsi:type="dcterms:W3CDTF">2004-12-29T19:49:42Z</dcterms:created>
  <dcterms:modified xsi:type="dcterms:W3CDTF">2009-03-25T15:25:57Z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