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435" windowHeight="4170" tabRatio="771" activeTab="1"/>
  </bookViews>
  <sheets>
    <sheet name="Anexo 5-1 Ingresos" sheetId="12" r:id="rId1"/>
    <sheet name="Anexo 5-2 Gastos" sheetId="13" r:id="rId2"/>
    <sheet name="Interpretacion de Resultados" sheetId="15" state="hidden" r:id="rId3"/>
    <sheet name="Hoja1" sheetId="16" r:id="rId4"/>
  </sheets>
  <definedNames>
    <definedName name="_xlnm.Print_Area" localSheetId="0">'Anexo 5-1 Ingresos'!$A$1:$D$69</definedName>
    <definedName name="_xlnm.Print_Area" localSheetId="1">'Anexo 5-2 Gastos'!$A$1:$G$51</definedName>
    <definedName name="_xlnm.Print_Titles" localSheetId="0">'Anexo 5-1 Ingresos'!$1:$6</definedName>
    <definedName name="_xlnm.Print_Titles" localSheetId="1">'Anexo 5-2 Gastos'!$1:$6</definedName>
  </definedNames>
  <calcPr calcId="144525"/>
</workbook>
</file>

<file path=xl/calcChain.xml><?xml version="1.0" encoding="utf-8"?>
<calcChain xmlns="http://schemas.openxmlformats.org/spreadsheetml/2006/main">
  <c r="G40" i="13" l="1"/>
  <c r="F40" i="13"/>
  <c r="G36" i="13"/>
  <c r="F36" i="13"/>
  <c r="G29" i="13"/>
  <c r="F29" i="13"/>
  <c r="L7" i="13" l="1"/>
  <c r="D58" i="12"/>
  <c r="D59" i="12"/>
  <c r="C58" i="12"/>
  <c r="C59" i="12"/>
  <c r="D64" i="12" l="1"/>
  <c r="C64" i="12"/>
  <c r="C63" i="12" s="1"/>
  <c r="D63" i="12"/>
  <c r="C46" i="12" l="1"/>
  <c r="C55" i="12"/>
  <c r="D34" i="12"/>
  <c r="E35" i="12"/>
  <c r="C26" i="12"/>
  <c r="C21" i="12"/>
  <c r="C20" i="12"/>
  <c r="C9" i="16" l="1"/>
  <c r="C12" i="16"/>
  <c r="C5" i="16"/>
  <c r="C3" i="16"/>
  <c r="E34" i="13"/>
  <c r="D34" i="13"/>
  <c r="B45" i="13"/>
  <c r="I38" i="13" s="1"/>
  <c r="B43" i="13"/>
  <c r="B42" i="13"/>
  <c r="I35" i="13"/>
  <c r="B40" i="13"/>
  <c r="B38" i="13"/>
  <c r="B36" i="13"/>
  <c r="B35" i="13"/>
  <c r="B34" i="13"/>
  <c r="B32" i="13"/>
  <c r="B31" i="13"/>
  <c r="B29" i="13"/>
  <c r="B28" i="13"/>
  <c r="B27" i="13"/>
  <c r="C20" i="13"/>
  <c r="B7" i="13"/>
  <c r="B21" i="13"/>
  <c r="B20" i="13"/>
  <c r="B22" i="13"/>
  <c r="C13" i="13"/>
  <c r="B13" i="13"/>
  <c r="B9" i="13"/>
  <c r="B10" i="13"/>
  <c r="C16" i="16" l="1"/>
  <c r="F46" i="13"/>
  <c r="D9" i="13"/>
  <c r="E35" i="13" l="1"/>
  <c r="D35" i="13"/>
  <c r="B39" i="13" l="1"/>
  <c r="B19" i="13"/>
  <c r="B18" i="13" s="1"/>
  <c r="C19" i="13"/>
  <c r="D7" i="13"/>
  <c r="C29" i="12" l="1"/>
  <c r="C54" i="12" l="1"/>
  <c r="D53" i="12" l="1"/>
  <c r="D47" i="12" s="1"/>
  <c r="D39" i="12" s="1"/>
  <c r="C53" i="12"/>
  <c r="C47" i="12" s="1"/>
  <c r="C39" i="12" s="1"/>
  <c r="E33" i="12"/>
  <c r="E29" i="12"/>
  <c r="B8" i="13" l="1"/>
  <c r="C12" i="13"/>
  <c r="B12" i="13"/>
  <c r="C18" i="13"/>
  <c r="C41" i="13"/>
  <c r="E8" i="13"/>
  <c r="E23" i="13" s="1"/>
  <c r="D23" i="12"/>
  <c r="C23" i="12"/>
  <c r="C34" i="12"/>
  <c r="C31" i="12"/>
  <c r="D31" i="12"/>
  <c r="C8" i="13" l="1"/>
  <c r="D8" i="13"/>
  <c r="D13" i="12"/>
  <c r="C13" i="12"/>
  <c r="D8" i="12"/>
  <c r="K48" i="12" s="1"/>
  <c r="C8" i="12"/>
  <c r="D19" i="12"/>
  <c r="D12" i="12" s="1"/>
  <c r="K51" i="12"/>
  <c r="C19" i="12"/>
  <c r="C12" i="12" s="1"/>
  <c r="I51" i="12"/>
  <c r="E7" i="15" l="1"/>
  <c r="C26" i="13"/>
  <c r="B30" i="13"/>
  <c r="B26" i="13"/>
  <c r="B41" i="13"/>
  <c r="C37" i="13"/>
  <c r="B37" i="13"/>
  <c r="C33" i="13"/>
  <c r="B33" i="13"/>
  <c r="F30" i="13" l="1"/>
  <c r="E26" i="12"/>
  <c r="E24" i="12"/>
  <c r="B44" i="13"/>
  <c r="B25" i="13" s="1"/>
  <c r="D43" i="12"/>
  <c r="G14" i="13"/>
  <c r="G20" i="13"/>
  <c r="D40" i="12"/>
  <c r="C30" i="13"/>
  <c r="C44" i="13"/>
  <c r="G44" i="13" s="1"/>
  <c r="G48" i="13"/>
  <c r="E41" i="13"/>
  <c r="G42" i="13"/>
  <c r="G43" i="13"/>
  <c r="G45" i="13"/>
  <c r="G47" i="13"/>
  <c r="G34" i="13"/>
  <c r="G35" i="13"/>
  <c r="G38" i="13"/>
  <c r="G39" i="13"/>
  <c r="C15" i="13"/>
  <c r="C11" i="13" s="1"/>
  <c r="C23" i="13" s="1"/>
  <c r="D19" i="13"/>
  <c r="D18" i="13" s="1"/>
  <c r="D15" i="13"/>
  <c r="D12" i="13"/>
  <c r="E19" i="13"/>
  <c r="E18" i="13" s="1"/>
  <c r="E15" i="13"/>
  <c r="E12" i="13"/>
  <c r="B15" i="13"/>
  <c r="B11" i="13" s="1"/>
  <c r="B23" i="13" s="1"/>
  <c r="D41" i="13"/>
  <c r="D37" i="13"/>
  <c r="F37" i="13" s="1"/>
  <c r="D33" i="13"/>
  <c r="D30" i="13"/>
  <c r="E37" i="13"/>
  <c r="G37" i="13" s="1"/>
  <c r="E33" i="13"/>
  <c r="E30" i="13"/>
  <c r="F35" i="13"/>
  <c r="F38" i="13"/>
  <c r="F39" i="13"/>
  <c r="F42" i="13"/>
  <c r="F43" i="13"/>
  <c r="D26" i="13"/>
  <c r="F26" i="13" s="1"/>
  <c r="E26" i="13"/>
  <c r="G32" i="13"/>
  <c r="G31" i="13"/>
  <c r="G28" i="13"/>
  <c r="G27" i="13"/>
  <c r="G22" i="13"/>
  <c r="G17" i="13"/>
  <c r="G16" i="13"/>
  <c r="G13" i="13"/>
  <c r="G21" i="13"/>
  <c r="G10" i="13"/>
  <c r="G9" i="13"/>
  <c r="G7" i="13"/>
  <c r="F47" i="13"/>
  <c r="F32" i="13"/>
  <c r="F31" i="13"/>
  <c r="F22" i="13"/>
  <c r="F20" i="13"/>
  <c r="F17" i="13"/>
  <c r="F16" i="13"/>
  <c r="F14" i="13"/>
  <c r="F13" i="13"/>
  <c r="F21" i="13"/>
  <c r="F10" i="13"/>
  <c r="F7" i="13"/>
  <c r="C43" i="12"/>
  <c r="C40" i="12"/>
  <c r="F27" i="13"/>
  <c r="F34" i="13"/>
  <c r="E25" i="13" l="1"/>
  <c r="E49" i="13" s="1"/>
  <c r="D25" i="13"/>
  <c r="F25" i="13" s="1"/>
  <c r="G41" i="13"/>
  <c r="F15" i="13"/>
  <c r="K50" i="12"/>
  <c r="C25" i="13"/>
  <c r="E11" i="13"/>
  <c r="D11" i="13"/>
  <c r="D23" i="13" s="1"/>
  <c r="G15" i="13"/>
  <c r="G23" i="13"/>
  <c r="I50" i="12"/>
  <c r="C7" i="12"/>
  <c r="C6" i="12" s="1"/>
  <c r="I49" i="12"/>
  <c r="I47" i="12" s="1"/>
  <c r="G19" i="13"/>
  <c r="F44" i="13"/>
  <c r="G30" i="13"/>
  <c r="G18" i="13"/>
  <c r="F19" i="13"/>
  <c r="F12" i="13"/>
  <c r="F41" i="13"/>
  <c r="E8" i="12"/>
  <c r="G33" i="13"/>
  <c r="G26" i="13"/>
  <c r="E58" i="12"/>
  <c r="F33" i="13"/>
  <c r="G12" i="13"/>
  <c r="G8" i="13"/>
  <c r="F18" i="13"/>
  <c r="F8" i="13"/>
  <c r="F9" i="13"/>
  <c r="F28" i="13"/>
  <c r="F45" i="13"/>
  <c r="I46" i="12" l="1"/>
  <c r="I52" i="12" s="1"/>
  <c r="D49" i="13"/>
  <c r="G11" i="13"/>
  <c r="F23" i="13"/>
  <c r="F11" i="13"/>
  <c r="E39" i="12"/>
  <c r="D7" i="12"/>
  <c r="D6" i="12" s="1"/>
  <c r="K49" i="12"/>
  <c r="K47" i="12" s="1"/>
  <c r="J49" i="12"/>
  <c r="G25" i="13"/>
  <c r="I25" i="13" s="1"/>
  <c r="B49" i="13"/>
  <c r="L6" i="13"/>
  <c r="E12" i="12"/>
  <c r="K46" i="12" l="1"/>
  <c r="K6" i="13"/>
  <c r="M6" i="13" s="1"/>
  <c r="F49" i="13"/>
  <c r="K8" i="13" s="1"/>
  <c r="K7" i="13"/>
  <c r="M7" i="13" s="1"/>
  <c r="D67" i="12"/>
  <c r="J47" i="12"/>
  <c r="C67" i="12"/>
  <c r="B4" i="15" s="1"/>
  <c r="J48" i="12"/>
  <c r="C49" i="13"/>
  <c r="E7" i="12"/>
  <c r="L50" i="12" l="1"/>
  <c r="I29" i="12" s="1"/>
  <c r="L47" i="12"/>
  <c r="I28" i="12" s="1"/>
  <c r="G49" i="13"/>
  <c r="L8" i="13" s="1"/>
  <c r="M8" i="13" s="1"/>
  <c r="J51" i="12"/>
  <c r="H4" i="12"/>
  <c r="J46" i="12"/>
  <c r="J50" i="12"/>
  <c r="E6" i="12"/>
  <c r="I23" i="13"/>
  <c r="I49" i="13" l="1"/>
  <c r="K52" i="12"/>
  <c r="J52" i="12"/>
  <c r="D4" i="15"/>
  <c r="E4" i="15" s="1"/>
  <c r="F7" i="15" s="1"/>
  <c r="I4" i="12"/>
  <c r="J4" i="12" s="1"/>
  <c r="E67" i="12"/>
  <c r="L52" i="12" l="1"/>
  <c r="L51" i="12"/>
  <c r="I30" i="12" s="1"/>
  <c r="L46" i="12"/>
  <c r="I27" i="12" s="1"/>
  <c r="I31" i="12" l="1"/>
</calcChain>
</file>

<file path=xl/sharedStrings.xml><?xml version="1.0" encoding="utf-8"?>
<sst xmlns="http://schemas.openxmlformats.org/spreadsheetml/2006/main" count="216" uniqueCount="169">
  <si>
    <t>PRESUPUESTADO</t>
  </si>
  <si>
    <t xml:space="preserve">INFORME DE EJECUCION PRESUPUESTAL DE GASTOS </t>
  </si>
  <si>
    <t>NIVEL RENTISTICO</t>
  </si>
  <si>
    <t>INGRESOS PROPIOS</t>
  </si>
  <si>
    <t>INGRESOS CORRIENTES</t>
  </si>
  <si>
    <t>Tributarios</t>
  </si>
  <si>
    <t>Participación Ambiental Municipios</t>
  </si>
  <si>
    <t>Otros</t>
  </si>
  <si>
    <t>No Tributarios</t>
  </si>
  <si>
    <t>Venta de Bienes y Servicios</t>
  </si>
  <si>
    <t>Licencias, permisos y tramites ambientales</t>
  </si>
  <si>
    <t>Operaciones Comerciales</t>
  </si>
  <si>
    <t>Aportes Patronales</t>
  </si>
  <si>
    <t>Aportes de Afiliados</t>
  </si>
  <si>
    <t>Aportes de otras entidades</t>
  </si>
  <si>
    <t>Transferencias Sector Electrico</t>
  </si>
  <si>
    <t>Otros Aportes de Otras Entidades</t>
  </si>
  <si>
    <t>Otros Ingresos</t>
  </si>
  <si>
    <t>Tasa Material de Arrastre</t>
  </si>
  <si>
    <t>Tasa por Uso del Agua</t>
  </si>
  <si>
    <t>RECURSOS DE CAPITAL</t>
  </si>
  <si>
    <t>Crédito externo</t>
  </si>
  <si>
    <t>Perfeccionado</t>
  </si>
  <si>
    <t>Autorizado</t>
  </si>
  <si>
    <t>Crédito Interno</t>
  </si>
  <si>
    <t>Rendimientos Financieros</t>
  </si>
  <si>
    <t>Recursos del Balance</t>
  </si>
  <si>
    <t>Venta de Activos</t>
  </si>
  <si>
    <t>Excedentes Financieros</t>
  </si>
  <si>
    <t>Cancelación de Reservas</t>
  </si>
  <si>
    <t>Recuperación de Cartera</t>
  </si>
  <si>
    <t>Otros Recursos del Balance</t>
  </si>
  <si>
    <t>Donaciones</t>
  </si>
  <si>
    <t>APORTES DE LA NACION</t>
  </si>
  <si>
    <t>Funcionamiento</t>
  </si>
  <si>
    <t>Servicio de la Deuda</t>
  </si>
  <si>
    <t>Inversión</t>
  </si>
  <si>
    <t>TOTAL INGRESOS VIGENCIA</t>
  </si>
  <si>
    <t>CONCEPTO</t>
  </si>
  <si>
    <t>RECURSOS PROPIOS
$</t>
  </si>
  <si>
    <t>RECURSOS DE LA NACION 
$</t>
  </si>
  <si>
    <t>TOTAL RECURSOS 
(PROPIOS -NACION)
$</t>
  </si>
  <si>
    <t>GASTOS DE PERSONAL</t>
  </si>
  <si>
    <t>GASTOS GENERALES</t>
  </si>
  <si>
    <t>Impuestos y Multas</t>
  </si>
  <si>
    <t>TRANSFERENCIAS CORRIENTES</t>
  </si>
  <si>
    <t>ADMINISTRACION PUBLICA CENTRAL</t>
  </si>
  <si>
    <t>Cuota de Auditaje Contaloria Nacional</t>
  </si>
  <si>
    <t>Fondo de Compensación Ambiental</t>
  </si>
  <si>
    <t xml:space="preserve">TRANSFERENCIAS PREVISION Y SEGURIDAD SOCIAL </t>
  </si>
  <si>
    <t>Mesadas Pensionales</t>
  </si>
  <si>
    <t>Bonos pensionales</t>
  </si>
  <si>
    <t>OTRAS TRANSFERENCIAS</t>
  </si>
  <si>
    <t>SENTENCIAS Y CONCILIACIONES</t>
  </si>
  <si>
    <t>Sentencias y Conciliaciones</t>
  </si>
  <si>
    <t>TOTAL GASTOS DE FUNCIONAMIENTO</t>
  </si>
  <si>
    <t>TOTAL INVERSION</t>
  </si>
  <si>
    <t>TOTAL SERVICIO DE LA DEUDA</t>
  </si>
  <si>
    <t xml:space="preserve">TOTAL PRESUPUESTO  </t>
  </si>
  <si>
    <t>ANEXO 5-2</t>
  </si>
  <si>
    <t>ANEXO 5-1</t>
  </si>
  <si>
    <t xml:space="preserve">INFORME DE EJECUCION PRESUPUESTAL DE INGRESOS </t>
  </si>
  <si>
    <t>Adquisición de Bienes y servicios</t>
  </si>
  <si>
    <t>Sobretasa o Porcentaje Ambiental</t>
  </si>
  <si>
    <t>APROPIADO</t>
  </si>
  <si>
    <t>RECAUDADO</t>
  </si>
  <si>
    <t>COMPROMETIDO</t>
  </si>
  <si>
    <t>Movilización ilegal de Madera</t>
  </si>
  <si>
    <t>Multas y sanciones por infracciones ambientales</t>
  </si>
  <si>
    <t xml:space="preserve">Otros por Venta de Bienes y Servicios </t>
  </si>
  <si>
    <t>Evaluación y Seguimiento</t>
  </si>
  <si>
    <t>Convenios con Otras Entidades</t>
  </si>
  <si>
    <t>CORPORACION AUTONOMA REGIONAL DE LA GUAJIRA</t>
  </si>
  <si>
    <t>Indemnizaciones</t>
  </si>
  <si>
    <t>Tasa Retributiva y Compensatoria</t>
  </si>
  <si>
    <t>OTRAS (ASOCARS)</t>
  </si>
  <si>
    <t xml:space="preserve">TOTAL PRESUPUESTO </t>
  </si>
  <si>
    <t>TOTAL GASTOS DE FUNCI.</t>
  </si>
  <si>
    <t>TOTAL GASTOS DE INVER.</t>
  </si>
  <si>
    <t xml:space="preserve">APROPIADO </t>
  </si>
  <si>
    <t xml:space="preserve">RECAUDADO </t>
  </si>
  <si>
    <t>Programa 1. Ordenamiento Ambiental Territorial</t>
  </si>
  <si>
    <t>Proyecto 1.1. Planificación, Ordenamiento e Información Ambiental Territorial</t>
  </si>
  <si>
    <t>Proyecto 1.2. Gestión del Riesgo y adaptación al Cambio Climático.</t>
  </si>
  <si>
    <t>Proyecto 1.3. Gestión del conocimiento y Cooperación Internacional.</t>
  </si>
  <si>
    <t>Programa 2. Gestión Integral del Recurso Hídrico</t>
  </si>
  <si>
    <t>Proyecto 2.1.Administración de la oferta y demanda del recurso hídrico. (Superficiales y subterráneas).</t>
  </si>
  <si>
    <t>Proyecto 2.2. .  Monitoreo de la calidad del recurso hídrico.</t>
  </si>
  <si>
    <t>Programa 3. Bosques, Biodiversidad y Servicios Ecosistémicos.</t>
  </si>
  <si>
    <t>Proyecto 3.1. Ecosistemas estratégicos continentales y marinos</t>
  </si>
  <si>
    <t>Proyecto 3.2. Protección y conservación de la biodiversidad.</t>
  </si>
  <si>
    <t>Proyecto 3.3.Negocios verdes y sostenibles.</t>
  </si>
  <si>
    <t>Progrma 4. Gestión Ambiental Sectorial y Urbana</t>
  </si>
  <si>
    <t>Proyecto 4.1. Gestión Ambiental Urbana</t>
  </si>
  <si>
    <t>Proyecto 4.2. Gestión Ambiental Sectorial</t>
  </si>
  <si>
    <t>Proyecto 4.3. Calidad del aire</t>
  </si>
  <si>
    <t>Programa 5. Educación Ambiental</t>
  </si>
  <si>
    <t>Proyecto 5.1. Cultura Ambiental</t>
  </si>
  <si>
    <t>Proyecto 5.2.Participación Comunitaria</t>
  </si>
  <si>
    <t>Programa 6. Calidad Ambiental</t>
  </si>
  <si>
    <t>Proyecto 6.1. Monitoreo y evaluación de la calidad de los recursos naturales y la biodiversidad.</t>
  </si>
  <si>
    <t>%</t>
  </si>
  <si>
    <t xml:space="preserve">Apropiado </t>
  </si>
  <si>
    <t xml:space="preserve">Recaudado </t>
  </si>
  <si>
    <t>TASAS</t>
  </si>
  <si>
    <t xml:space="preserve">Multas </t>
  </si>
  <si>
    <t>Otras multas y contravenciones</t>
  </si>
  <si>
    <t>1800-010302</t>
  </si>
  <si>
    <t>1800-01030203</t>
  </si>
  <si>
    <t>1800-0104</t>
  </si>
  <si>
    <t>18-010301010101-07</t>
  </si>
  <si>
    <t>1800-01030102</t>
  </si>
  <si>
    <t>Monitoreo (Laboratorio)</t>
  </si>
  <si>
    <t>1800-0103010201</t>
  </si>
  <si>
    <t>1800-010301020101-05</t>
  </si>
  <si>
    <t>1800-010301020103-12</t>
  </si>
  <si>
    <t>1800-010301020104-12</t>
  </si>
  <si>
    <t>1800-010301020201-12</t>
  </si>
  <si>
    <t>1800-0103010208</t>
  </si>
  <si>
    <t>1800-010301020805-06</t>
  </si>
  <si>
    <t>1800-010301020806-12</t>
  </si>
  <si>
    <t>1800-010301020807-12</t>
  </si>
  <si>
    <t xml:space="preserve">Tasa Aprovechamiento Forestal </t>
  </si>
  <si>
    <t xml:space="preserve">Movilización Materia Vegetal </t>
  </si>
  <si>
    <t xml:space="preserve">Recurperacion de Cartera </t>
  </si>
  <si>
    <t>Recuperacion de Cartera Tasa Retributivas y Compensaciones</t>
  </si>
  <si>
    <t>Recuperacion de Cartera Mutas</t>
  </si>
  <si>
    <t>1800-0103</t>
  </si>
  <si>
    <t>1800-010301</t>
  </si>
  <si>
    <t>1800-01030101</t>
  </si>
  <si>
    <t>1800-010301020102-11</t>
  </si>
  <si>
    <t>1800-010301020105-12</t>
  </si>
  <si>
    <t>1800-010301020102-02</t>
  </si>
  <si>
    <t>1800-01030205</t>
  </si>
  <si>
    <t>1800-010302050402-12</t>
  </si>
  <si>
    <t>1800-010302050401-12</t>
  </si>
  <si>
    <t>1800-01040000</t>
  </si>
  <si>
    <t>1800-010301020202</t>
  </si>
  <si>
    <t xml:space="preserve">RECURSOS VIGENCIA 2014. </t>
  </si>
  <si>
    <t>Fondo de Compensacion Ambiental</t>
  </si>
  <si>
    <t>1800 - 010401 - 16</t>
  </si>
  <si>
    <t>1800-010301020103 - 12</t>
  </si>
  <si>
    <t>1800-0103020504</t>
  </si>
  <si>
    <t xml:space="preserve">Fondo de Compensacion Ambiental fortalecimiento de la infraestructura tecnologica de CORPOGUAJIRA </t>
  </si>
  <si>
    <t xml:space="preserve">Proyecto </t>
  </si>
  <si>
    <t xml:space="preserve">Valor </t>
  </si>
  <si>
    <t xml:space="preserve">Programa del Plan de Accion 2012-2015 </t>
  </si>
  <si>
    <t>Analisis y diseño del sistema de Informacion Ambiental para la Corporacion Autonoma Regional de La Guajira fase 1</t>
  </si>
  <si>
    <t xml:space="preserve">Implementacion de Estrategias de Conservacion Participativa en la parte media y otros sectores de la cuenca del rio tapia </t>
  </si>
  <si>
    <t xml:space="preserve">Estudio para la declaratoria de un area natural protegida en la serrania de perija unidad biografica cerro pintao urumita La Guajira </t>
  </si>
  <si>
    <t>Restauracion activa y pasiva en la cuenca del rio tapias, abastecedora del acueducto del municipio de riohacha en el departamento de la Guajira</t>
  </si>
  <si>
    <t>Monitoreo de aves migratorias residentes y amenazada con enfasis en flamenco rosados, mediante acciones participativa con la comunidad en diez humedales costero de La Guajira</t>
  </si>
  <si>
    <t>Plan de manejo y conservacion de la nutria (lontra longicaudis) en la reserva protectora montes de oca, departamento de La Guajira</t>
  </si>
  <si>
    <t xml:space="preserve">Desarrollo de acciones de educacion ambiental para prevenir los efectos de cambio climatico con enfasis en diponibilidad de agua en comunidades indigenas y campesina de cinco municipio del departamento de La Guajira </t>
  </si>
  <si>
    <t>RECURSOS VIGENCIA 2014. DICIEMBRE 31</t>
  </si>
  <si>
    <t>1800-010301020810-30</t>
  </si>
  <si>
    <t>Recuperacion Incapacidad y Licencia de Maternidada</t>
  </si>
  <si>
    <t>1800-01030252</t>
  </si>
  <si>
    <t>Superavit Fiscal</t>
  </si>
  <si>
    <t>1800-010402-111</t>
  </si>
  <si>
    <t>Fondo Nacional Ambiental</t>
  </si>
  <si>
    <t xml:space="preserve">Proyectos Aprobados con presupuesto General de la Nacion </t>
  </si>
  <si>
    <t>Fuente</t>
  </si>
  <si>
    <t>FCA</t>
  </si>
  <si>
    <t>FONAM</t>
  </si>
  <si>
    <t xml:space="preserve">Fortalecimiento de la infraestructura tecnologica de CORPOGUAJIRA </t>
  </si>
  <si>
    <t xml:space="preserve">Programa 7.  Buen Gobierno para La Gestion Ambiental </t>
  </si>
  <si>
    <t xml:space="preserve">Fortalecimiento de la  Institucionalidad, Gobernanza y Buen Gobierno </t>
  </si>
  <si>
    <t>APN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</si>
</sst>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 * #,##0.00_ ;_ * \-#,##0.00_ ;_ * &quot;-&quot;??_ ;_ @_ "/>
    <numFmt numFmtId="167" formatCode="#,##0.00_ ;\-#,##0.00\ "/>
    <numFmt numFmtId="168" formatCode="_ * #,##0_ ;_ * \-#,##0_ ;_ * &quot;-&quot;??_ ;_ @_ "/>
    <numFmt numFmtId="169" formatCode="[$$-240A]\ #,##0"/>
    <numFmt numFmtId="170" formatCode="_-* #,##0_-;\-* #,##0_-;_-* &quot;-&quot;??_-;_-@_-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Univers"/>
      <family val="2"/>
    </font>
    <font>
      <b/>
      <sz val="9"/>
      <name val="Univers"/>
      <family val="2"/>
    </font>
    <font>
      <b/>
      <sz val="8"/>
      <name val="Univers"/>
      <family val="2"/>
    </font>
    <font>
      <b/>
      <sz val="8"/>
      <name val="Arial"/>
      <family val="2"/>
    </font>
    <font>
      <b/>
      <sz val="6"/>
      <name val="Arial"/>
      <family val="2"/>
    </font>
    <font>
      <sz val="10"/>
      <name val="Univers"/>
      <family val="2"/>
    </font>
    <font>
      <sz val="8"/>
      <name val="Arial"/>
      <family val="2"/>
    </font>
    <font>
      <b/>
      <vertAlign val="superscript"/>
      <sz val="9"/>
      <name val="Univers"/>
      <family val="2"/>
    </font>
    <font>
      <b/>
      <vertAlign val="superscript"/>
      <sz val="8"/>
      <color indexed="10"/>
      <name val="Univers"/>
      <family val="2"/>
    </font>
    <font>
      <b/>
      <sz val="8"/>
      <color indexed="10"/>
      <name val="Univers"/>
      <family val="2"/>
    </font>
    <font>
      <b/>
      <sz val="10"/>
      <name val="Univers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9"/>
      <name val="Univers"/>
    </font>
    <font>
      <sz val="16"/>
      <color rgb="FF444444"/>
      <name val="Segoe UI Light"/>
      <family val="2"/>
    </font>
    <font>
      <b/>
      <sz val="8"/>
      <name val="Univers"/>
    </font>
    <font>
      <u/>
      <sz val="10"/>
      <color theme="10"/>
      <name val="Arial"/>
      <family val="2"/>
    </font>
    <font>
      <sz val="10"/>
      <name val="Arial Narrow"/>
      <family val="2"/>
    </font>
    <font>
      <sz val="8"/>
      <name val="Univers"/>
    </font>
    <font>
      <sz val="9"/>
      <name val="Univers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54">
    <xf numFmtId="0" fontId="0" fillId="0" borderId="0" xfId="0"/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2" fillId="0" borderId="1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5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5" fillId="0" borderId="5" xfId="0" applyFont="1" applyFill="1" applyBorder="1" applyProtection="1"/>
    <xf numFmtId="0" fontId="5" fillId="0" borderId="6" xfId="0" applyFont="1" applyFill="1" applyBorder="1" applyProtection="1"/>
    <xf numFmtId="0" fontId="5" fillId="0" borderId="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/>
    <xf numFmtId="0" fontId="4" fillId="3" borderId="8" xfId="0" applyFont="1" applyFill="1" applyBorder="1" applyProtection="1"/>
    <xf numFmtId="0" fontId="4" fillId="4" borderId="8" xfId="0" applyFont="1" applyFill="1" applyBorder="1" applyProtection="1"/>
    <xf numFmtId="0" fontId="3" fillId="0" borderId="8" xfId="0" applyFont="1" applyFill="1" applyBorder="1" applyProtection="1"/>
    <xf numFmtId="0" fontId="5" fillId="0" borderId="8" xfId="0" applyFont="1" applyFill="1" applyBorder="1" applyProtection="1"/>
    <xf numFmtId="0" fontId="4" fillId="0" borderId="8" xfId="0" applyFont="1" applyBorder="1" applyProtection="1"/>
    <xf numFmtId="1" fontId="4" fillId="5" borderId="8" xfId="0" applyNumberFormat="1" applyFont="1" applyFill="1" applyBorder="1" applyProtection="1"/>
    <xf numFmtId="166" fontId="4" fillId="2" borderId="10" xfId="1" applyNumberFormat="1" applyFont="1" applyFill="1" applyBorder="1" applyProtection="1"/>
    <xf numFmtId="166" fontId="4" fillId="3" borderId="11" xfId="1" applyNumberFormat="1" applyFont="1" applyFill="1" applyBorder="1" applyProtection="1"/>
    <xf numFmtId="166" fontId="4" fillId="4" borderId="11" xfId="1" applyNumberFormat="1" applyFont="1" applyFill="1" applyBorder="1" applyProtection="1"/>
    <xf numFmtId="166" fontId="5" fillId="0" borderId="11" xfId="1" applyNumberFormat="1" applyFont="1" applyFill="1" applyBorder="1" applyProtection="1"/>
    <xf numFmtId="166" fontId="4" fillId="0" borderId="11" xfId="1" applyNumberFormat="1" applyFont="1" applyBorder="1" applyProtection="1"/>
    <xf numFmtId="166" fontId="3" fillId="0" borderId="11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66" fontId="4" fillId="5" borderId="11" xfId="1" applyNumberFormat="1" applyFont="1" applyFill="1" applyBorder="1" applyProtection="1">
      <protection locked="0"/>
    </xf>
    <xf numFmtId="0" fontId="7" fillId="0" borderId="12" xfId="0" applyFont="1" applyBorder="1" applyAlignment="1" applyProtection="1">
      <alignment horizontal="center" vertical="top" wrapText="1"/>
    </xf>
    <xf numFmtId="0" fontId="7" fillId="0" borderId="13" xfId="0" applyFont="1" applyBorder="1" applyAlignment="1" applyProtection="1">
      <alignment horizontal="center" vertical="top" wrapText="1"/>
    </xf>
    <xf numFmtId="0" fontId="5" fillId="0" borderId="14" xfId="0" applyFont="1" applyFill="1" applyBorder="1" applyProtection="1"/>
    <xf numFmtId="0" fontId="3" fillId="0" borderId="0" xfId="0" applyFont="1" applyBorder="1" applyProtection="1"/>
    <xf numFmtId="0" fontId="8" fillId="0" borderId="0" xfId="0" applyFont="1" applyBorder="1" applyProtection="1"/>
    <xf numFmtId="0" fontId="5" fillId="0" borderId="15" xfId="0" applyFont="1" applyFill="1" applyBorder="1" applyAlignment="1" applyProtection="1">
      <alignment wrapText="1"/>
      <protection locked="0"/>
    </xf>
    <xf numFmtId="166" fontId="5" fillId="0" borderId="16" xfId="1" applyFont="1" applyFill="1" applyBorder="1" applyProtection="1"/>
    <xf numFmtId="166" fontId="5" fillId="0" borderId="17" xfId="1" applyFont="1" applyFill="1" applyBorder="1" applyProtection="1"/>
    <xf numFmtId="166" fontId="5" fillId="0" borderId="10" xfId="1" applyFont="1" applyFill="1" applyBorder="1" applyProtection="1"/>
    <xf numFmtId="166" fontId="5" fillId="0" borderId="18" xfId="1" applyFont="1" applyFill="1" applyBorder="1" applyProtection="1"/>
    <xf numFmtId="166" fontId="3" fillId="0" borderId="11" xfId="1" applyFont="1" applyFill="1" applyBorder="1" applyProtection="1"/>
    <xf numFmtId="166" fontId="3" fillId="0" borderId="19" xfId="1" applyFont="1" applyFill="1" applyBorder="1" applyProtection="1"/>
    <xf numFmtId="166" fontId="3" fillId="0" borderId="20" xfId="1" applyFont="1" applyFill="1" applyBorder="1" applyProtection="1"/>
    <xf numFmtId="166" fontId="3" fillId="0" borderId="21" xfId="1" applyFont="1" applyFill="1" applyBorder="1" applyProtection="1"/>
    <xf numFmtId="166" fontId="5" fillId="0" borderId="11" xfId="1" applyFont="1" applyFill="1" applyBorder="1" applyProtection="1"/>
    <xf numFmtId="166" fontId="5" fillId="0" borderId="19" xfId="1" applyFont="1" applyFill="1" applyBorder="1" applyProtection="1"/>
    <xf numFmtId="166" fontId="3" fillId="0" borderId="0" xfId="1" applyFont="1" applyBorder="1" applyProtection="1"/>
    <xf numFmtId="166" fontId="3" fillId="0" borderId="0" xfId="1" applyFont="1" applyFill="1" applyBorder="1" applyProtection="1"/>
    <xf numFmtId="166" fontId="8" fillId="0" borderId="0" xfId="1" applyFont="1" applyBorder="1" applyProtection="1"/>
    <xf numFmtId="166" fontId="5" fillId="0" borderId="16" xfId="1" applyFont="1" applyFill="1" applyBorder="1" applyProtection="1">
      <protection locked="0"/>
    </xf>
    <xf numFmtId="166" fontId="3" fillId="0" borderId="11" xfId="1" applyFont="1" applyFill="1" applyBorder="1" applyProtection="1">
      <protection locked="0"/>
    </xf>
    <xf numFmtId="166" fontId="3" fillId="0" borderId="20" xfId="1" applyFont="1" applyFill="1" applyBorder="1" applyProtection="1">
      <protection locked="0"/>
    </xf>
    <xf numFmtId="166" fontId="14" fillId="0" borderId="11" xfId="1" applyFont="1" applyFill="1" applyBorder="1" applyAlignment="1" applyProtection="1">
      <alignment wrapText="1"/>
      <protection locked="0"/>
    </xf>
    <xf numFmtId="166" fontId="14" fillId="0" borderId="11" xfId="1" applyFont="1" applyFill="1" applyBorder="1" applyProtection="1"/>
    <xf numFmtId="166" fontId="14" fillId="0" borderId="19" xfId="1" applyFont="1" applyFill="1" applyBorder="1" applyProtection="1"/>
    <xf numFmtId="166" fontId="14" fillId="0" borderId="22" xfId="1" applyFont="1" applyFill="1" applyBorder="1" applyAlignment="1" applyProtection="1">
      <alignment wrapText="1"/>
      <protection locked="0"/>
    </xf>
    <xf numFmtId="166" fontId="14" fillId="0" borderId="20" xfId="1" applyFont="1" applyFill="1" applyBorder="1" applyProtection="1"/>
    <xf numFmtId="0" fontId="1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166" fontId="15" fillId="0" borderId="11" xfId="1" applyFont="1" applyFill="1" applyBorder="1" applyAlignment="1" applyProtection="1">
      <alignment wrapText="1"/>
      <protection locked="0"/>
    </xf>
    <xf numFmtId="166" fontId="15" fillId="0" borderId="22" xfId="1" applyFont="1" applyFill="1" applyBorder="1" applyAlignment="1" applyProtection="1">
      <alignment wrapText="1"/>
      <protection locked="0"/>
    </xf>
    <xf numFmtId="166" fontId="14" fillId="0" borderId="24" xfId="1" applyFont="1" applyFill="1" applyBorder="1" applyAlignment="1" applyProtection="1">
      <alignment wrapText="1"/>
      <protection locked="0"/>
    </xf>
    <xf numFmtId="0" fontId="5" fillId="0" borderId="1" xfId="0" applyFont="1" applyFill="1" applyBorder="1" applyProtection="1"/>
    <xf numFmtId="166" fontId="5" fillId="0" borderId="25" xfId="1" applyFont="1" applyFill="1" applyBorder="1" applyProtection="1"/>
    <xf numFmtId="0" fontId="14" fillId="0" borderId="11" xfId="0" applyFont="1" applyFill="1" applyBorder="1" applyAlignment="1" applyProtection="1">
      <alignment horizontal="justify" wrapText="1"/>
      <protection locked="0"/>
    </xf>
    <xf numFmtId="0" fontId="3" fillId="0" borderId="8" xfId="0" applyFont="1" applyFill="1" applyBorder="1" applyAlignment="1" applyProtection="1">
      <alignment wrapText="1"/>
    </xf>
    <xf numFmtId="166" fontId="14" fillId="0" borderId="11" xfId="1" applyFont="1" applyFill="1" applyBorder="1" applyProtection="1">
      <protection locked="0"/>
    </xf>
    <xf numFmtId="166" fontId="14" fillId="0" borderId="20" xfId="1" applyFont="1" applyFill="1" applyBorder="1" applyProtection="1">
      <protection locked="0"/>
    </xf>
    <xf numFmtId="166" fontId="5" fillId="0" borderId="16" xfId="1" applyFont="1" applyFill="1" applyBorder="1" applyAlignment="1" applyProtection="1"/>
    <xf numFmtId="166" fontId="15" fillId="0" borderId="27" xfId="1" applyFont="1" applyFill="1" applyBorder="1" applyAlignment="1" applyProtection="1">
      <alignment wrapText="1"/>
      <protection locked="0"/>
    </xf>
    <xf numFmtId="166" fontId="14" fillId="0" borderId="27" xfId="1" applyFont="1" applyFill="1" applyBorder="1" applyAlignment="1" applyProtection="1">
      <alignment wrapText="1"/>
      <protection locked="0"/>
    </xf>
    <xf numFmtId="166" fontId="14" fillId="0" borderId="27" xfId="1" applyFont="1" applyFill="1" applyBorder="1" applyAlignment="1" applyProtection="1"/>
    <xf numFmtId="166" fontId="14" fillId="0" borderId="11" xfId="1" applyFont="1" applyFill="1" applyBorder="1" applyAlignment="1" applyProtection="1"/>
    <xf numFmtId="166" fontId="5" fillId="0" borderId="25" xfId="1" applyFont="1" applyFill="1" applyBorder="1" applyAlignment="1" applyProtection="1"/>
    <xf numFmtId="166" fontId="5" fillId="0" borderId="17" xfId="1" applyFont="1" applyFill="1" applyBorder="1" applyAlignment="1" applyProtection="1"/>
    <xf numFmtId="166" fontId="15" fillId="0" borderId="22" xfId="1" applyFont="1" applyFill="1" applyBorder="1" applyAlignment="1" applyProtection="1"/>
    <xf numFmtId="166" fontId="15" fillId="0" borderId="28" xfId="1" applyFont="1" applyFill="1" applyBorder="1" applyAlignment="1" applyProtection="1"/>
    <xf numFmtId="166" fontId="14" fillId="0" borderId="19" xfId="1" applyFont="1" applyFill="1" applyBorder="1" applyAlignment="1" applyProtection="1"/>
    <xf numFmtId="166" fontId="15" fillId="0" borderId="11" xfId="1" applyFont="1" applyFill="1" applyBorder="1" applyAlignment="1" applyProtection="1"/>
    <xf numFmtId="166" fontId="15" fillId="0" borderId="19" xfId="1" applyFont="1" applyFill="1" applyBorder="1" applyAlignment="1" applyProtection="1"/>
    <xf numFmtId="166" fontId="5" fillId="0" borderId="11" xfId="1" applyFont="1" applyFill="1" applyBorder="1" applyAlignment="1" applyProtection="1"/>
    <xf numFmtId="166" fontId="3" fillId="0" borderId="0" xfId="1" applyFont="1" applyFill="1" applyBorder="1" applyAlignment="1" applyProtection="1"/>
    <xf numFmtId="0" fontId="3" fillId="0" borderId="11" xfId="0" applyFont="1" applyBorder="1" applyProtection="1"/>
    <xf numFmtId="0" fontId="4" fillId="0" borderId="11" xfId="0" applyFont="1" applyBorder="1" applyAlignment="1" applyProtection="1">
      <alignment horizontal="center" vertical="top"/>
    </xf>
    <xf numFmtId="166" fontId="0" fillId="0" borderId="0" xfId="0" applyNumberFormat="1"/>
    <xf numFmtId="0" fontId="4" fillId="0" borderId="8" xfId="0" applyFont="1" applyFill="1" applyBorder="1" applyProtection="1"/>
    <xf numFmtId="166" fontId="4" fillId="0" borderId="11" xfId="1" applyNumberFormat="1" applyFont="1" applyFill="1" applyBorder="1" applyProtection="1">
      <protection locked="0"/>
    </xf>
    <xf numFmtId="0" fontId="14" fillId="0" borderId="5" xfId="0" applyFont="1" applyFill="1" applyBorder="1" applyAlignment="1" applyProtection="1">
      <alignment horizontal="justify" wrapText="1"/>
      <protection locked="0"/>
    </xf>
    <xf numFmtId="0" fontId="14" fillId="0" borderId="5" xfId="0" applyFont="1" applyFill="1" applyBorder="1" applyAlignment="1" applyProtection="1">
      <alignment wrapText="1"/>
      <protection locked="0"/>
    </xf>
    <xf numFmtId="10" fontId="0" fillId="0" borderId="0" xfId="0" applyNumberFormat="1"/>
    <xf numFmtId="10" fontId="0" fillId="0" borderId="11" xfId="0" applyNumberFormat="1" applyBorder="1" applyProtection="1"/>
    <xf numFmtId="166" fontId="14" fillId="0" borderId="0" xfId="1" applyFont="1" applyFill="1"/>
    <xf numFmtId="166" fontId="14" fillId="0" borderId="11" xfId="1" applyFont="1" applyFill="1" applyBorder="1" applyAlignment="1" applyProtection="1">
      <alignment horizontal="center" vertical="center" wrapText="1"/>
      <protection locked="0"/>
    </xf>
    <xf numFmtId="166" fontId="14" fillId="0" borderId="22" xfId="1" applyFont="1" applyFill="1" applyBorder="1" applyAlignment="1" applyProtection="1">
      <alignment horizontal="center" vertical="center" wrapText="1"/>
      <protection locked="0"/>
    </xf>
    <xf numFmtId="166" fontId="14" fillId="0" borderId="27" xfId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Protection="1"/>
    <xf numFmtId="1" fontId="4" fillId="5" borderId="30" xfId="0" applyNumberFormat="1" applyFont="1" applyFill="1" applyBorder="1" applyProtection="1"/>
    <xf numFmtId="166" fontId="4" fillId="5" borderId="27" xfId="1" applyNumberFormat="1" applyFont="1" applyFill="1" applyBorder="1" applyProtection="1">
      <protection locked="0"/>
    </xf>
    <xf numFmtId="1" fontId="5" fillId="2" borderId="31" xfId="0" applyNumberFormat="1" applyFont="1" applyFill="1" applyBorder="1" applyProtection="1"/>
    <xf numFmtId="1" fontId="5" fillId="2" borderId="32" xfId="0" applyNumberFormat="1" applyFont="1" applyFill="1" applyBorder="1" applyProtection="1"/>
    <xf numFmtId="166" fontId="13" fillId="2" borderId="16" xfId="1" applyNumberFormat="1" applyFont="1" applyFill="1" applyBorder="1" applyProtection="1"/>
    <xf numFmtId="166" fontId="13" fillId="2" borderId="17" xfId="1" applyNumberFormat="1" applyFont="1" applyFill="1" applyBorder="1" applyProtection="1"/>
    <xf numFmtId="0" fontId="4" fillId="6" borderId="8" xfId="0" applyFont="1" applyFill="1" applyBorder="1" applyProtection="1"/>
    <xf numFmtId="166" fontId="4" fillId="6" borderId="11" xfId="1" applyNumberFormat="1" applyFont="1" applyFill="1" applyBorder="1" applyProtection="1"/>
    <xf numFmtId="0" fontId="14" fillId="0" borderId="27" xfId="0" applyFont="1" applyFill="1" applyBorder="1" applyAlignment="1" applyProtection="1">
      <alignment wrapText="1"/>
      <protection locked="0"/>
    </xf>
    <xf numFmtId="166" fontId="14" fillId="0" borderId="33" xfId="1" applyFont="1" applyFill="1" applyBorder="1" applyAlignment="1" applyProtection="1"/>
    <xf numFmtId="0" fontId="5" fillId="0" borderId="10" xfId="0" applyFont="1" applyFill="1" applyBorder="1" applyAlignment="1" applyProtection="1">
      <alignment wrapText="1"/>
      <protection locked="0"/>
    </xf>
    <xf numFmtId="166" fontId="15" fillId="0" borderId="34" xfId="1" applyFont="1" applyFill="1" applyBorder="1" applyAlignment="1" applyProtection="1">
      <alignment wrapText="1"/>
      <protection locked="0"/>
    </xf>
    <xf numFmtId="166" fontId="15" fillId="0" borderId="10" xfId="1" applyFont="1" applyFill="1" applyBorder="1" applyAlignment="1" applyProtection="1">
      <alignment wrapText="1"/>
      <protection locked="0"/>
    </xf>
    <xf numFmtId="166" fontId="15" fillId="0" borderId="10" xfId="1" applyFont="1" applyFill="1" applyBorder="1" applyAlignment="1" applyProtection="1"/>
    <xf numFmtId="166" fontId="15" fillId="0" borderId="18" xfId="1" applyFont="1" applyFill="1" applyBorder="1" applyAlignment="1" applyProtection="1"/>
    <xf numFmtId="0" fontId="3" fillId="0" borderId="8" xfId="0" applyFont="1" applyFill="1" applyBorder="1" applyAlignment="1" applyProtection="1">
      <alignment horizontal="justify" vertical="top" wrapText="1"/>
    </xf>
    <xf numFmtId="166" fontId="3" fillId="0" borderId="11" xfId="1" applyNumberFormat="1" applyFont="1" applyFill="1" applyBorder="1" applyAlignment="1" applyProtection="1">
      <alignment horizontal="center" vertical="center"/>
      <protection locked="0"/>
    </xf>
    <xf numFmtId="9" fontId="0" fillId="0" borderId="0" xfId="2" applyFont="1"/>
    <xf numFmtId="0" fontId="16" fillId="0" borderId="0" xfId="0" applyFont="1"/>
    <xf numFmtId="10" fontId="16" fillId="0" borderId="0" xfId="0" applyNumberFormat="1" applyFont="1"/>
    <xf numFmtId="0" fontId="4" fillId="0" borderId="11" xfId="0" applyFont="1" applyFill="1" applyBorder="1" applyProtection="1"/>
    <xf numFmtId="1" fontId="4" fillId="0" borderId="11" xfId="0" applyNumberFormat="1" applyFont="1" applyFill="1" applyBorder="1" applyProtection="1"/>
    <xf numFmtId="168" fontId="4" fillId="0" borderId="11" xfId="1" applyNumberFormat="1" applyFont="1" applyFill="1" applyBorder="1" applyProtection="1"/>
    <xf numFmtId="0" fontId="2" fillId="0" borderId="11" xfId="0" applyFont="1" applyFill="1" applyBorder="1"/>
    <xf numFmtId="0" fontId="17" fillId="0" borderId="11" xfId="0" applyFont="1" applyFill="1" applyBorder="1" applyAlignment="1" applyProtection="1">
      <alignment horizontal="center" vertical="top"/>
    </xf>
    <xf numFmtId="169" fontId="0" fillId="0" borderId="0" xfId="0" applyNumberFormat="1"/>
    <xf numFmtId="0" fontId="2" fillId="0" borderId="0" xfId="0" applyFont="1" applyAlignment="1">
      <alignment horizontal="center" vertical="center"/>
    </xf>
    <xf numFmtId="168" fontId="0" fillId="0" borderId="0" xfId="0" applyNumberFormat="1"/>
    <xf numFmtId="0" fontId="14" fillId="0" borderId="5" xfId="0" applyFont="1" applyFill="1" applyBorder="1" applyAlignment="1" applyProtection="1">
      <protection locked="0"/>
    </xf>
    <xf numFmtId="0" fontId="14" fillId="0" borderId="10" xfId="0" applyFont="1" applyFill="1" applyBorder="1" applyAlignment="1" applyProtection="1">
      <alignment horizontal="justify" wrapText="1"/>
      <protection locked="0"/>
    </xf>
    <xf numFmtId="166" fontId="14" fillId="0" borderId="34" xfId="1" applyFont="1" applyFill="1" applyBorder="1" applyAlignment="1" applyProtection="1">
      <alignment horizontal="center" vertical="center" wrapText="1"/>
      <protection locked="0"/>
    </xf>
    <xf numFmtId="166" fontId="14" fillId="0" borderId="10" xfId="1" applyFont="1" applyFill="1" applyBorder="1" applyAlignment="1" applyProtection="1">
      <alignment horizontal="center" vertical="center" wrapText="1"/>
      <protection locked="0"/>
    </xf>
    <xf numFmtId="166" fontId="14" fillId="0" borderId="10" xfId="1" applyFont="1" applyFill="1" applyBorder="1" applyAlignment="1" applyProtection="1">
      <alignment wrapText="1"/>
      <protection locked="0"/>
    </xf>
    <xf numFmtId="166" fontId="14" fillId="0" borderId="10" xfId="1" applyFont="1" applyFill="1" applyBorder="1" applyAlignment="1" applyProtection="1"/>
    <xf numFmtId="166" fontId="14" fillId="0" borderId="43" xfId="1" applyFont="1" applyFill="1" applyBorder="1" applyAlignment="1" applyProtection="1"/>
    <xf numFmtId="166" fontId="4" fillId="0" borderId="11" xfId="1" applyNumberFormat="1" applyFont="1" applyFill="1" applyBorder="1" applyProtection="1"/>
    <xf numFmtId="166" fontId="4" fillId="0" borderId="11" xfId="1" applyFont="1" applyFill="1" applyBorder="1" applyProtection="1"/>
    <xf numFmtId="2" fontId="0" fillId="0" borderId="0" xfId="0" applyNumberFormat="1"/>
    <xf numFmtId="164" fontId="4" fillId="0" borderId="11" xfId="3" applyFont="1" applyFill="1" applyBorder="1" applyProtection="1"/>
    <xf numFmtId="166" fontId="5" fillId="0" borderId="16" xfId="1" applyNumberFormat="1" applyFont="1" applyFill="1" applyBorder="1" applyProtection="1">
      <protection locked="0"/>
    </xf>
    <xf numFmtId="166" fontId="3" fillId="0" borderId="11" xfId="1" applyNumberFormat="1" applyFont="1" applyFill="1" applyBorder="1" applyAlignment="1" applyProtection="1">
      <alignment horizontal="right"/>
      <protection locked="0"/>
    </xf>
    <xf numFmtId="166" fontId="5" fillId="0" borderId="11" xfId="1" applyNumberFormat="1" applyFont="1" applyFill="1" applyBorder="1" applyAlignment="1" applyProtection="1">
      <alignment horizontal="right"/>
      <protection locked="0"/>
    </xf>
    <xf numFmtId="2" fontId="0" fillId="0" borderId="11" xfId="0" applyNumberFormat="1" applyBorder="1"/>
    <xf numFmtId="165" fontId="0" fillId="0" borderId="0" xfId="0" applyNumberFormat="1"/>
    <xf numFmtId="166" fontId="0" fillId="0" borderId="0" xfId="1" applyFont="1"/>
    <xf numFmtId="165" fontId="0" fillId="0" borderId="0" xfId="0" applyNumberFormat="1" applyProtection="1"/>
    <xf numFmtId="166" fontId="0" fillId="0" borderId="0" xfId="1" applyFont="1" applyProtection="1"/>
    <xf numFmtId="166" fontId="3" fillId="0" borderId="11" xfId="1" applyNumberFormat="1" applyFont="1" applyFill="1" applyBorder="1" applyProtection="1"/>
    <xf numFmtId="0" fontId="18" fillId="0" borderId="0" xfId="0" applyFont="1" applyAlignment="1">
      <alignment horizontal="left" wrapText="1"/>
    </xf>
    <xf numFmtId="1" fontId="4" fillId="0" borderId="0" xfId="0" applyNumberFormat="1" applyFont="1" applyFill="1" applyBorder="1" applyProtection="1"/>
    <xf numFmtId="168" fontId="4" fillId="0" borderId="0" xfId="1" applyNumberFormat="1" applyFont="1" applyFill="1" applyBorder="1" applyProtection="1"/>
    <xf numFmtId="2" fontId="0" fillId="0" borderId="0" xfId="0" applyNumberFormat="1" applyBorder="1"/>
    <xf numFmtId="43" fontId="0" fillId="0" borderId="0" xfId="0" applyNumberFormat="1"/>
    <xf numFmtId="166" fontId="3" fillId="0" borderId="11" xfId="1" applyNumberFormat="1" applyFont="1" applyFill="1" applyBorder="1" applyAlignment="1" applyProtection="1">
      <alignment wrapText="1"/>
      <protection locked="0"/>
    </xf>
    <xf numFmtId="166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11" xfId="1" applyFont="1" applyFill="1" applyBorder="1" applyAlignment="1" applyProtection="1">
      <alignment wrapText="1"/>
      <protection locked="0"/>
    </xf>
    <xf numFmtId="4" fontId="0" fillId="0" borderId="0" xfId="0" applyNumberFormat="1"/>
    <xf numFmtId="168" fontId="0" fillId="0" borderId="0" xfId="1" applyNumberFormat="1" applyFont="1"/>
    <xf numFmtId="166" fontId="3" fillId="7" borderId="11" xfId="1" applyNumberFormat="1" applyFont="1" applyFill="1" applyBorder="1" applyProtection="1">
      <protection locked="0"/>
    </xf>
    <xf numFmtId="14" fontId="0" fillId="0" borderId="2" xfId="0" applyNumberFormat="1" applyBorder="1" applyProtection="1"/>
    <xf numFmtId="0" fontId="14" fillId="0" borderId="8" xfId="0" applyFont="1" applyFill="1" applyBorder="1" applyAlignment="1" applyProtection="1">
      <alignment horizontal="justify" wrapText="1"/>
      <protection locked="0"/>
    </xf>
    <xf numFmtId="166" fontId="15" fillId="0" borderId="11" xfId="1" applyFont="1" applyFill="1" applyBorder="1" applyAlignment="1" applyProtection="1">
      <alignment vertical="center" wrapText="1"/>
      <protection locked="0"/>
    </xf>
    <xf numFmtId="170" fontId="0" fillId="0" borderId="0" xfId="0" applyNumberFormat="1"/>
    <xf numFmtId="166" fontId="14" fillId="0" borderId="10" xfId="1" applyFont="1" applyFill="1" applyBorder="1" applyAlignment="1" applyProtection="1">
      <alignment vertical="center" wrapText="1"/>
      <protection locked="0"/>
    </xf>
    <xf numFmtId="0" fontId="5" fillId="0" borderId="44" xfId="0" applyFont="1" applyFill="1" applyBorder="1" applyAlignment="1" applyProtection="1">
      <alignment wrapText="1"/>
      <protection locked="0"/>
    </xf>
    <xf numFmtId="0" fontId="5" fillId="0" borderId="43" xfId="0" applyFont="1" applyFill="1" applyBorder="1" applyAlignment="1" applyProtection="1">
      <alignment wrapText="1"/>
      <protection locked="0"/>
    </xf>
    <xf numFmtId="0" fontId="0" fillId="0" borderId="11" xfId="0" applyBorder="1"/>
    <xf numFmtId="6" fontId="0" fillId="0" borderId="11" xfId="0" applyNumberFormat="1" applyBorder="1" applyAlignment="1">
      <alignment horizontal="center" vertical="center"/>
    </xf>
    <xf numFmtId="6" fontId="2" fillId="0" borderId="11" xfId="0" applyNumberFormat="1" applyFont="1" applyBorder="1" applyAlignment="1">
      <alignment horizontal="center" vertical="center"/>
    </xf>
    <xf numFmtId="164" fontId="0" fillId="0" borderId="11" xfId="3" applyFont="1" applyBorder="1" applyAlignment="1">
      <alignment vertical="center"/>
    </xf>
    <xf numFmtId="164" fontId="0" fillId="0" borderId="11" xfId="3" applyFont="1" applyBorder="1" applyAlignment="1">
      <alignment horizontal="center" vertical="center"/>
    </xf>
    <xf numFmtId="0" fontId="14" fillId="0" borderId="44" xfId="0" applyFont="1" applyFill="1" applyBorder="1" applyAlignment="1" applyProtection="1">
      <alignment vertical="center" wrapText="1"/>
      <protection locked="0"/>
    </xf>
    <xf numFmtId="6" fontId="2" fillId="0" borderId="11" xfId="0" applyNumberFormat="1" applyFont="1" applyBorder="1" applyAlignment="1">
      <alignment horizontal="center"/>
    </xf>
    <xf numFmtId="6" fontId="0" fillId="0" borderId="0" xfId="0" applyNumberFormat="1"/>
    <xf numFmtId="6" fontId="0" fillId="0" borderId="27" xfId="0" applyNumberFormat="1" applyBorder="1" applyAlignment="1">
      <alignment horizontal="center" vertical="center"/>
    </xf>
    <xf numFmtId="6" fontId="2" fillId="0" borderId="45" xfId="0" applyNumberFormat="1" applyFont="1" applyBorder="1" applyAlignment="1">
      <alignment horizontal="center" vertical="center"/>
    </xf>
    <xf numFmtId="44" fontId="2" fillId="0" borderId="11" xfId="0" applyNumberFormat="1" applyFont="1" applyBorder="1" applyAlignment="1">
      <alignment horizontal="center"/>
    </xf>
    <xf numFmtId="166" fontId="20" fillId="0" borderId="16" xfId="8" applyNumberFormat="1" applyFill="1" applyBorder="1" applyAlignment="1" applyProtection="1"/>
    <xf numFmtId="0" fontId="3" fillId="0" borderId="11" xfId="0" applyFont="1" applyFill="1" applyBorder="1" applyProtection="1"/>
    <xf numFmtId="0" fontId="3" fillId="0" borderId="11" xfId="0" applyFont="1" applyFill="1" applyBorder="1" applyAlignment="1" applyProtection="1">
      <alignment wrapText="1"/>
    </xf>
    <xf numFmtId="1" fontId="5" fillId="5" borderId="9" xfId="0" applyNumberFormat="1" applyFont="1" applyFill="1" applyBorder="1" applyAlignment="1" applyProtection="1">
      <alignment horizontal="left"/>
    </xf>
    <xf numFmtId="1" fontId="5" fillId="5" borderId="23" xfId="0" applyNumberFormat="1" applyFont="1" applyFill="1" applyBorder="1" applyAlignment="1" applyProtection="1">
      <alignment horizontal="left"/>
    </xf>
    <xf numFmtId="1" fontId="5" fillId="5" borderId="9" xfId="4" applyNumberFormat="1" applyFont="1" applyFill="1" applyBorder="1" applyAlignment="1" applyProtection="1">
      <alignment horizontal="left" vertical="top"/>
    </xf>
    <xf numFmtId="1" fontId="5" fillId="5" borderId="23" xfId="4" applyNumberFormat="1" applyFont="1" applyFill="1" applyBorder="1" applyAlignment="1" applyProtection="1">
      <alignment horizontal="left" vertical="top"/>
    </xf>
    <xf numFmtId="1" fontId="5" fillId="0" borderId="9" xfId="4" applyNumberFormat="1" applyFont="1" applyBorder="1" applyAlignment="1" applyProtection="1">
      <alignment horizontal="left" vertical="top"/>
    </xf>
    <xf numFmtId="1" fontId="19" fillId="0" borderId="9" xfId="4" applyNumberFormat="1" applyFont="1" applyBorder="1" applyAlignment="1" applyProtection="1">
      <alignment horizontal="left" vertical="top"/>
    </xf>
    <xf numFmtId="1" fontId="3" fillId="0" borderId="9" xfId="4" applyNumberFormat="1" applyFont="1" applyBorder="1" applyAlignment="1" applyProtection="1">
      <alignment horizontal="left" vertical="top"/>
    </xf>
    <xf numFmtId="1" fontId="5" fillId="2" borderId="29" xfId="0" applyNumberFormat="1" applyFont="1" applyFill="1" applyBorder="1" applyAlignment="1" applyProtection="1">
      <alignment horizontal="left" vertical="top"/>
    </xf>
    <xf numFmtId="1" fontId="5" fillId="3" borderId="9" xfId="0" applyNumberFormat="1" applyFont="1" applyFill="1" applyBorder="1" applyAlignment="1" applyProtection="1">
      <alignment horizontal="left" vertical="top"/>
    </xf>
    <xf numFmtId="1" fontId="5" fillId="4" borderId="9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1" fontId="5" fillId="4" borderId="9" xfId="4" applyNumberFormat="1" applyFont="1" applyFill="1" applyBorder="1" applyAlignment="1" applyProtection="1">
      <alignment horizontal="left" vertical="top"/>
    </xf>
    <xf numFmtId="0" fontId="0" fillId="0" borderId="11" xfId="0" applyBorder="1" applyAlignment="1">
      <alignment horizontal="left" vertical="top"/>
    </xf>
    <xf numFmtId="1" fontId="5" fillId="3" borderId="9" xfId="4" applyNumberFormat="1" applyFont="1" applyFill="1" applyBorder="1" applyAlignment="1" applyProtection="1">
      <alignment horizontal="left" vertical="top"/>
    </xf>
    <xf numFmtId="0" fontId="1" fillId="0" borderId="11" xfId="0" applyFont="1" applyBorder="1" applyAlignment="1">
      <alignment horizontal="justify" vertical="top" wrapText="1"/>
    </xf>
    <xf numFmtId="0" fontId="0" fillId="0" borderId="11" xfId="0" applyBorder="1" applyAlignment="1">
      <alignment horizontal="justify" vertical="top"/>
    </xf>
    <xf numFmtId="0" fontId="1" fillId="0" borderId="10" xfId="0" applyFont="1" applyBorder="1" applyAlignment="1">
      <alignment horizontal="justify" vertical="top" wrapText="1"/>
    </xf>
    <xf numFmtId="6" fontId="0" fillId="0" borderId="10" xfId="0" applyNumberFormat="1" applyBorder="1" applyAlignment="1">
      <alignment horizontal="center" vertical="center"/>
    </xf>
    <xf numFmtId="0" fontId="5" fillId="0" borderId="45" xfId="0" applyFont="1" applyFill="1" applyBorder="1" applyAlignment="1" applyProtection="1">
      <alignment wrapText="1"/>
      <protection locked="0"/>
    </xf>
    <xf numFmtId="0" fontId="0" fillId="0" borderId="45" xfId="0" applyBorder="1"/>
    <xf numFmtId="0" fontId="2" fillId="0" borderId="35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7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7" fontId="14" fillId="0" borderId="2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>
      <alignment horizontal="center"/>
    </xf>
    <xf numFmtId="6" fontId="2" fillId="0" borderId="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2" fillId="0" borderId="43" xfId="0" applyFont="1" applyFill="1" applyBorder="1" applyAlignment="1" applyProtection="1">
      <alignment horizontal="left" vertical="center" wrapText="1"/>
      <protection locked="0"/>
    </xf>
    <xf numFmtId="1" fontId="23" fillId="0" borderId="8" xfId="0" applyNumberFormat="1" applyFont="1" applyFill="1" applyBorder="1" applyProtection="1"/>
    <xf numFmtId="1" fontId="23" fillId="5" borderId="30" xfId="0" applyNumberFormat="1" applyFont="1" applyFill="1" applyBorder="1" applyProtection="1"/>
    <xf numFmtId="166" fontId="23" fillId="7" borderId="11" xfId="1" applyNumberFormat="1" applyFont="1" applyFill="1" applyBorder="1" applyProtection="1"/>
    <xf numFmtId="166" fontId="23" fillId="5" borderId="27" xfId="1" applyNumberFormat="1" applyFont="1" applyFill="1" applyBorder="1" applyProtection="1">
      <protection locked="0"/>
    </xf>
    <xf numFmtId="166" fontId="23" fillId="7" borderId="27" xfId="1" applyNumberFormat="1" applyFont="1" applyFill="1" applyBorder="1" applyProtection="1"/>
    <xf numFmtId="1" fontId="5" fillId="2" borderId="4" xfId="4" applyNumberFormat="1" applyFont="1" applyFill="1" applyBorder="1" applyAlignment="1" applyProtection="1">
      <alignment horizontal="right"/>
    </xf>
    <xf numFmtId="0" fontId="4" fillId="0" borderId="30" xfId="0" applyFont="1" applyBorder="1" applyProtection="1"/>
    <xf numFmtId="166" fontId="4" fillId="0" borderId="27" xfId="1" applyFont="1" applyBorder="1" applyProtection="1">
      <protection locked="0"/>
    </xf>
    <xf numFmtId="1" fontId="4" fillId="0" borderId="7" xfId="0" applyNumberFormat="1" applyFont="1" applyFill="1" applyBorder="1" applyProtection="1"/>
    <xf numFmtId="166" fontId="4" fillId="7" borderId="10" xfId="1" applyNumberFormat="1" applyFont="1" applyFill="1" applyBorder="1" applyProtection="1"/>
    <xf numFmtId="1" fontId="4" fillId="2" borderId="31" xfId="0" applyNumberFormat="1" applyFont="1" applyFill="1" applyBorder="1" applyProtection="1"/>
    <xf numFmtId="166" fontId="4" fillId="2" borderId="16" xfId="1" applyNumberFormat="1" applyFont="1" applyFill="1" applyBorder="1" applyProtection="1"/>
    <xf numFmtId="1" fontId="5" fillId="0" borderId="23" xfId="4" applyNumberFormat="1" applyFont="1" applyBorder="1" applyAlignment="1" applyProtection="1">
      <alignment horizontal="left" vertical="top"/>
    </xf>
    <xf numFmtId="1" fontId="5" fillId="5" borderId="29" xfId="4" applyNumberFormat="1" applyFont="1" applyFill="1" applyBorder="1" applyAlignment="1" applyProtection="1">
      <alignment horizontal="left" vertical="top"/>
    </xf>
    <xf numFmtId="1" fontId="5" fillId="2" borderId="45" xfId="4" applyNumberFormat="1" applyFont="1" applyFill="1" applyBorder="1" applyAlignment="1" applyProtection="1">
      <alignment horizontal="left" vertical="top"/>
    </xf>
    <xf numFmtId="0" fontId="3" fillId="0" borderId="30" xfId="0" applyFont="1" applyFill="1" applyBorder="1" applyProtection="1"/>
    <xf numFmtId="166" fontId="3" fillId="0" borderId="27" xfId="1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</xf>
    <xf numFmtId="166" fontId="3" fillId="0" borderId="10" xfId="1" applyFont="1" applyFill="1" applyBorder="1" applyProtection="1">
      <protection locked="0"/>
    </xf>
    <xf numFmtId="0" fontId="4" fillId="0" borderId="32" xfId="0" applyFont="1" applyFill="1" applyBorder="1" applyProtection="1"/>
    <xf numFmtId="166" fontId="19" fillId="0" borderId="16" xfId="1" applyFont="1" applyFill="1" applyBorder="1" applyProtection="1">
      <protection locked="0"/>
    </xf>
    <xf numFmtId="166" fontId="19" fillId="0" borderId="17" xfId="1" applyFont="1" applyFill="1" applyBorder="1" applyProtection="1">
      <protection locked="0"/>
    </xf>
    <xf numFmtId="0" fontId="2" fillId="0" borderId="0" xfId="0" applyFont="1" applyAlignment="1">
      <alignment horizontal="center"/>
    </xf>
    <xf numFmtId="1" fontId="10" fillId="5" borderId="0" xfId="0" applyNumberFormat="1" applyFont="1" applyFill="1" applyBorder="1" applyAlignment="1" applyProtection="1">
      <alignment horizontal="left" vertical="top" wrapText="1"/>
    </xf>
    <xf numFmtId="1" fontId="3" fillId="5" borderId="0" xfId="0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/>
    </xf>
    <xf numFmtId="0" fontId="2" fillId="0" borderId="2" xfId="0" applyFont="1" applyBorder="1" applyAlignment="1">
      <alignment horizontal="center"/>
    </xf>
    <xf numFmtId="1" fontId="5" fillId="5" borderId="0" xfId="0" applyNumberFormat="1" applyFont="1" applyFill="1" applyBorder="1" applyAlignment="1" applyProtection="1">
      <alignment horizontal="left" vertical="top" wrapText="1"/>
    </xf>
    <xf numFmtId="0" fontId="2" fillId="0" borderId="35" xfId="0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2" fillId="0" borderId="37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38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 vertical="top" wrapText="1"/>
    </xf>
    <xf numFmtId="0" fontId="6" fillId="0" borderId="37" xfId="0" applyFont="1" applyBorder="1" applyAlignment="1" applyProtection="1">
      <alignment horizontal="center" vertical="top"/>
    </xf>
    <xf numFmtId="0" fontId="6" fillId="0" borderId="39" xfId="0" applyFont="1" applyBorder="1" applyAlignment="1" applyProtection="1">
      <alignment horizontal="center" vertical="top" wrapText="1"/>
    </xf>
    <xf numFmtId="0" fontId="6" fillId="0" borderId="39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top" wrapText="1"/>
    </xf>
    <xf numFmtId="0" fontId="6" fillId="0" borderId="40" xfId="0" applyFont="1" applyBorder="1" applyAlignment="1" applyProtection="1">
      <alignment horizontal="center" vertical="top"/>
    </xf>
    <xf numFmtId="0" fontId="6" fillId="0" borderId="41" xfId="0" applyFont="1" applyBorder="1" applyAlignment="1" applyProtection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2" fillId="0" borderId="0" xfId="0" applyFont="1" applyFill="1" applyBorder="1" applyAlignment="1" applyProtection="1">
      <alignment horizontal="justify" vertical="top" wrapText="1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</cellXfs>
  <cellStyles count="9">
    <cellStyle name="Hipervínculo" xfId="8" builtinId="8"/>
    <cellStyle name="Millares" xfId="1" builtinId="3"/>
    <cellStyle name="Millares 2" xfId="5"/>
    <cellStyle name="Moneda" xfId="3" builtinId="4"/>
    <cellStyle name="Moneda 2" xfId="7"/>
    <cellStyle name="Normal" xfId="0" builtinId="0"/>
    <cellStyle name="Normal 2" xfId="4"/>
    <cellStyle name="Porcentaje" xfId="2" builtin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'Anexo 5-1 Ingresos'!$H$3:$I$3</c:f>
              <c:strCache>
                <c:ptCount val="2"/>
                <c:pt idx="0">
                  <c:v>APROPIADO </c:v>
                </c:pt>
                <c:pt idx="1">
                  <c:v>RECAUDADO </c:v>
                </c:pt>
              </c:strCache>
            </c:strRef>
          </c:cat>
          <c:val>
            <c:numRef>
              <c:f>'Anexo 5-1 Ingresos'!$H$4:$I$4</c:f>
              <c:numCache>
                <c:formatCode>_ * #,##0_ ;_ * \-#,##0_ ;_ * "-"??_ ;_ @_ </c:formatCode>
                <c:ptCount val="2"/>
                <c:pt idx="0">
                  <c:v>23324957320.380001</c:v>
                </c:pt>
                <c:pt idx="1">
                  <c:v>20133613906.02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</a:t>
            </a:r>
            <a:r>
              <a:rPr lang="es-CO" baseline="0"/>
              <a:t> de Ingresos</a:t>
            </a:r>
            <a:endParaRPr lang="es-CO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'Anexo 5-1 Ingresos'!$H$3:$I$3</c:f>
              <c:strCache>
                <c:ptCount val="2"/>
                <c:pt idx="0">
                  <c:v>APROPIADO </c:v>
                </c:pt>
                <c:pt idx="1">
                  <c:v>RECAUDADO </c:v>
                </c:pt>
              </c:strCache>
            </c:strRef>
          </c:cat>
          <c:val>
            <c:numRef>
              <c:f>'Anexo 5-1 Ingresos'!$H$4:$I$4</c:f>
              <c:numCache>
                <c:formatCode>_ * #,##0_ ;_ * \-#,##0_ ;_ * "-"??_ ;_ @_ </c:formatCode>
                <c:ptCount val="2"/>
                <c:pt idx="0">
                  <c:v>23324957320.380001</c:v>
                </c:pt>
                <c:pt idx="1">
                  <c:v>20133613906.02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RECAUDO</a:t>
            </a:r>
            <a:r>
              <a:rPr lang="es-CO" baseline="0"/>
              <a:t> 31 DE DICIEMBRE 2014</a:t>
            </a:r>
            <a:endParaRPr lang="es-CO"/>
          </a:p>
        </c:rich>
      </c:tx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163073778374918E-2"/>
          <c:y val="0.12895451076088732"/>
          <c:w val="0.90966893177962083"/>
          <c:h val="0.4778259756240160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'Anexo 5-1 Ingresos'!$H$27:$H$31</c:f>
              <c:strCache>
                <c:ptCount val="5"/>
                <c:pt idx="0">
                  <c:v>INGRESOS PROPIOS</c:v>
                </c:pt>
                <c:pt idx="1">
                  <c:v>INGRESOS CORRIENTES</c:v>
                </c:pt>
                <c:pt idx="2">
                  <c:v>RECURSOS DE CAPITAL</c:v>
                </c:pt>
                <c:pt idx="3">
                  <c:v>APORTES DE LA NACION</c:v>
                </c:pt>
                <c:pt idx="4">
                  <c:v>TOTAL INGRESOS VIGENCIA</c:v>
                </c:pt>
              </c:strCache>
            </c:strRef>
          </c:cat>
          <c:val>
            <c:numRef>
              <c:f>'Anexo 5-1 Ingresos'!$I$27:$I$31</c:f>
              <c:numCache>
                <c:formatCode>0.00</c:formatCode>
                <c:ptCount val="5"/>
                <c:pt idx="0">
                  <c:v>80.751396127442206</c:v>
                </c:pt>
                <c:pt idx="1">
                  <c:v>49.277027882612494</c:v>
                </c:pt>
                <c:pt idx="2">
                  <c:v>50.722972117387499</c:v>
                </c:pt>
                <c:pt idx="3">
                  <c:v>19.248603872557794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181568"/>
        <c:axId val="85183104"/>
        <c:axId val="0"/>
      </c:bar3DChart>
      <c:catAx>
        <c:axId val="8518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5183104"/>
        <c:crosses val="autoZero"/>
        <c:auto val="1"/>
        <c:lblAlgn val="ctr"/>
        <c:lblOffset val="100"/>
        <c:noMultiLvlLbl val="0"/>
      </c:catAx>
      <c:valAx>
        <c:axId val="851831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518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191722604142894"/>
          <c:y val="4.0763706620005932E-2"/>
          <c:w val="0.77579575280363344"/>
          <c:h val="0.684468139399241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'Anexo 5-2 Gastos'!$K$5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'Anexo 5-2 Gastos'!$J$6:$J$8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Gastos'!$K$6:$K$8</c:f>
              <c:numCache>
                <c:formatCode>[$$-240A]\ #,##0</c:formatCode>
                <c:ptCount val="3"/>
                <c:pt idx="0">
                  <c:v>8767518416.8800011</c:v>
                </c:pt>
                <c:pt idx="1">
                  <c:v>14557438899.549999</c:v>
                </c:pt>
                <c:pt idx="2">
                  <c:v>23324957316.43</c:v>
                </c:pt>
              </c:numCache>
            </c:numRef>
          </c:val>
        </c:ser>
        <c:ser>
          <c:idx val="1"/>
          <c:order val="1"/>
          <c:tx>
            <c:strRef>
              <c:f>'Anexo 5-2 Gastos'!$L$5</c:f>
              <c:strCache>
                <c:ptCount val="1"/>
                <c:pt idx="0">
                  <c:v>COMPROMETIDO</c:v>
                </c:pt>
              </c:strCache>
            </c:strRef>
          </c:tx>
          <c:invertIfNegative val="0"/>
          <c:cat>
            <c:strRef>
              <c:f>'Anexo 5-2 Gastos'!$J$6:$J$8</c:f>
              <c:strCache>
                <c:ptCount val="3"/>
                <c:pt idx="0">
                  <c:v>TOTAL GASTOS DE FUNCI.</c:v>
                </c:pt>
                <c:pt idx="1">
                  <c:v>TOTAL GASTOS DE INVER.</c:v>
                </c:pt>
                <c:pt idx="2">
                  <c:v>TOTAL PRESUPUESTO </c:v>
                </c:pt>
              </c:strCache>
            </c:strRef>
          </c:cat>
          <c:val>
            <c:numRef>
              <c:f>'Anexo 5-2 Gastos'!$L$6:$L$8</c:f>
              <c:numCache>
                <c:formatCode>[$$-240A]\ #,##0</c:formatCode>
                <c:ptCount val="3"/>
                <c:pt idx="0">
                  <c:v>8090619932.3700008</c:v>
                </c:pt>
                <c:pt idx="1">
                  <c:v>11552511947.540001</c:v>
                </c:pt>
                <c:pt idx="2">
                  <c:v>19643131879.91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505536"/>
        <c:axId val="85507072"/>
        <c:axId val="0"/>
      </c:bar3DChart>
      <c:catAx>
        <c:axId val="8550553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crossAx val="85507072"/>
        <c:crosses val="autoZero"/>
        <c:auto val="1"/>
        <c:lblAlgn val="ctr"/>
        <c:lblOffset val="100"/>
        <c:noMultiLvlLbl val="0"/>
      </c:catAx>
      <c:valAx>
        <c:axId val="85507072"/>
        <c:scaling>
          <c:orientation val="minMax"/>
        </c:scaling>
        <c:delete val="0"/>
        <c:axPos val="l"/>
        <c:majorGridlines/>
        <c:numFmt formatCode="#,##0;[Red]#,##0" sourceLinked="0"/>
        <c:majorTickMark val="none"/>
        <c:minorTickMark val="none"/>
        <c:tickLblPos val="nextTo"/>
        <c:crossAx val="855055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es-ES"/>
          </a:p>
        </c:txPr>
      </c:dTable>
    </c:plotArea>
    <c:plotVisOnly val="1"/>
    <c:dispBlanksAs val="gap"/>
    <c:showDLblsOverMax val="0"/>
  </c:chart>
  <c:txPr>
    <a:bodyPr/>
    <a:lstStyle/>
    <a:p>
      <a:pPr>
        <a:defRPr sz="1050"/>
      </a:pPr>
      <a:endParaRPr lang="es-E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'Interpretacion de Resultados'!$B$4</c:f>
              <c:strCache>
                <c:ptCount val="1"/>
                <c:pt idx="0">
                  <c:v> $ 23.324.957.320,38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cat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86.317902448757806</c:v>
                </c:pt>
              </c:numCache>
            </c:numRef>
          </c:cat>
          <c:val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86.317902448757806</c:v>
                </c:pt>
              </c:numCache>
            </c:numRef>
          </c:val>
        </c:ser>
        <c:ser>
          <c:idx val="1"/>
          <c:order val="1"/>
          <c:tx>
            <c:strRef>
              <c:f>'Interpretacion de Resultados'!$D$4</c:f>
              <c:strCache>
                <c:ptCount val="1"/>
                <c:pt idx="0">
                  <c:v> $ 20.133.613.906,02 </c:v>
                </c:pt>
              </c:strCache>
            </c:strRef>
          </c:tx>
          <c:invertIfNegative val="0"/>
          <c:cat>
            <c:numRef>
              <c:f>'Interpretacion de Resultados'!$E$7:$F$7</c:f>
              <c:numCache>
                <c:formatCode>0.00</c:formatCode>
                <c:ptCount val="2"/>
                <c:pt idx="0" formatCode="_ * #,##0_ ;_ * \-#,##0_ ;_ * &quot;-&quot;??_ ;_ @_ ">
                  <c:v>100</c:v>
                </c:pt>
                <c:pt idx="1">
                  <c:v>86.317902448757806</c:v>
                </c:pt>
              </c:numCache>
            </c:numRef>
          </c:cat>
          <c:val>
            <c:numRef>
              <c:f>'Interpretacion de Resultados'!$E$8:$F$8</c:f>
              <c:numCache>
                <c:formatCode>_ * #,##0_ ;_ * \-#,##0_ ;_ * "-"??_ ;_ @_ 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2448256"/>
        <c:axId val="112449792"/>
        <c:axId val="0"/>
      </c:bar3DChart>
      <c:catAx>
        <c:axId val="112448256"/>
        <c:scaling>
          <c:orientation val="minMax"/>
        </c:scaling>
        <c:delete val="0"/>
        <c:axPos val="b"/>
        <c:numFmt formatCode="_ * #,##0_ ;_ * \-#,##0_ ;_ * &quot;-&quot;??_ ;_ @_ " sourceLinked="1"/>
        <c:majorTickMark val="out"/>
        <c:minorTickMark val="none"/>
        <c:tickLblPos val="nextTo"/>
        <c:crossAx val="112449792"/>
        <c:crosses val="autoZero"/>
        <c:auto val="1"/>
        <c:lblAlgn val="ctr"/>
        <c:lblOffset val="100"/>
        <c:noMultiLvlLbl val="0"/>
      </c:catAx>
      <c:valAx>
        <c:axId val="112449792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out"/>
        <c:minorTickMark val="none"/>
        <c:tickLblPos val="nextTo"/>
        <c:crossAx val="112448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5</xdr:row>
      <xdr:rowOff>19050</xdr:rowOff>
    </xdr:from>
    <xdr:to>
      <xdr:col>10</xdr:col>
      <xdr:colOff>914400</xdr:colOff>
      <xdr:row>20</xdr:row>
      <xdr:rowOff>9525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3</xdr:row>
      <xdr:rowOff>9525</xdr:rowOff>
    </xdr:from>
    <xdr:to>
      <xdr:col>16</xdr:col>
      <xdr:colOff>142875</xdr:colOff>
      <xdr:row>18</xdr:row>
      <xdr:rowOff>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1486476</xdr:colOff>
      <xdr:row>10</xdr:row>
      <xdr:rowOff>147340</xdr:rowOff>
    </xdr:from>
    <xdr:to>
      <xdr:col>21</xdr:col>
      <xdr:colOff>281588</xdr:colOff>
      <xdr:row>34</xdr:row>
      <xdr:rowOff>76201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10</xdr:row>
      <xdr:rowOff>85725</xdr:rowOff>
    </xdr:from>
    <xdr:to>
      <xdr:col>14</xdr:col>
      <xdr:colOff>714375</xdr:colOff>
      <xdr:row>30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9</xdr:row>
      <xdr:rowOff>9525</xdr:rowOff>
    </xdr:from>
    <xdr:to>
      <xdr:col>6</xdr:col>
      <xdr:colOff>685800</xdr:colOff>
      <xdr:row>26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opLeftCell="A43" zoomScaleNormal="100" zoomScaleSheetLayoutView="115" workbookViewId="0">
      <selection activeCell="D64" sqref="D64"/>
    </sheetView>
  </sheetViews>
  <sheetFormatPr baseColWidth="10" defaultRowHeight="12.75"/>
  <cols>
    <col min="1" max="1" width="17.85546875" customWidth="1"/>
    <col min="2" max="2" width="29.7109375" customWidth="1"/>
    <col min="3" max="3" width="20.42578125" customWidth="1"/>
    <col min="4" max="4" width="19.85546875" customWidth="1"/>
    <col min="5" max="5" width="21.7109375" customWidth="1"/>
    <col min="6" max="6" width="16.5703125" bestFit="1" customWidth="1"/>
    <col min="8" max="8" width="26.7109375" bestFit="1" customWidth="1"/>
    <col min="9" max="9" width="19.85546875" bestFit="1" customWidth="1"/>
    <col min="10" max="10" width="11.85546875" customWidth="1"/>
    <col min="11" max="11" width="23.7109375" bestFit="1" customWidth="1"/>
    <col min="12" max="12" width="11" customWidth="1"/>
  </cols>
  <sheetData>
    <row r="1" spans="1:12">
      <c r="A1" s="226" t="s">
        <v>60</v>
      </c>
      <c r="B1" s="226"/>
      <c r="C1" s="226"/>
      <c r="D1" s="226"/>
    </row>
    <row r="2" spans="1:12">
      <c r="A2" s="229" t="s">
        <v>61</v>
      </c>
      <c r="B2" s="229"/>
      <c r="C2" s="229"/>
      <c r="D2" s="229"/>
      <c r="E2" s="1"/>
      <c r="F2" s="1"/>
      <c r="G2" s="1"/>
    </row>
    <row r="3" spans="1:12">
      <c r="A3" s="229" t="s">
        <v>72</v>
      </c>
      <c r="B3" s="229"/>
      <c r="C3" s="229"/>
      <c r="D3" s="229"/>
      <c r="E3" s="1"/>
      <c r="F3" s="1"/>
      <c r="G3" s="1"/>
      <c r="H3" s="119" t="s">
        <v>79</v>
      </c>
      <c r="I3" s="119" t="s">
        <v>80</v>
      </c>
      <c r="J3" s="119"/>
    </row>
    <row r="4" spans="1:12">
      <c r="A4" s="229" t="s">
        <v>154</v>
      </c>
      <c r="B4" s="229"/>
      <c r="C4" s="229"/>
      <c r="D4" s="229"/>
      <c r="E4" s="2"/>
      <c r="F4" s="2"/>
      <c r="G4" s="2"/>
      <c r="H4" s="120">
        <f>I52</f>
        <v>23324957320.380001</v>
      </c>
      <c r="I4" s="120">
        <f>D67</f>
        <v>20133613906.02</v>
      </c>
      <c r="J4" s="110">
        <f>I4/H4</f>
        <v>0.86317902448757799</v>
      </c>
    </row>
    <row r="5" spans="1:12">
      <c r="A5" s="79"/>
      <c r="B5" s="80" t="s">
        <v>2</v>
      </c>
      <c r="C5" s="80" t="s">
        <v>64</v>
      </c>
      <c r="D5" s="80" t="s">
        <v>65</v>
      </c>
    </row>
    <row r="6" spans="1:12">
      <c r="A6" s="180" t="s">
        <v>127</v>
      </c>
      <c r="B6" s="12" t="s">
        <v>3</v>
      </c>
      <c r="C6" s="19">
        <f>C7+C39</f>
        <v>15487984580.380001</v>
      </c>
      <c r="D6" s="19">
        <f>D7+D39</f>
        <v>16258174320.02</v>
      </c>
      <c r="E6" s="86">
        <f>(D6/C6)</f>
        <v>1.0497282093511164</v>
      </c>
      <c r="I6" s="81"/>
      <c r="J6" s="81"/>
      <c r="K6" s="81"/>
      <c r="L6" s="86"/>
    </row>
    <row r="7" spans="1:12">
      <c r="A7" s="181" t="s">
        <v>128</v>
      </c>
      <c r="B7" s="13" t="s">
        <v>4</v>
      </c>
      <c r="C7" s="20">
        <f>C8+C12</f>
        <v>8010178117.8800001</v>
      </c>
      <c r="D7" s="20">
        <f>D8+D12</f>
        <v>8011545092.8800001</v>
      </c>
      <c r="E7" s="86">
        <f>(D7/C7)</f>
        <v>1.0001706547569709</v>
      </c>
      <c r="I7" s="81"/>
      <c r="J7" s="81"/>
      <c r="K7" s="81"/>
      <c r="L7" s="86"/>
    </row>
    <row r="8" spans="1:12">
      <c r="A8" s="182" t="s">
        <v>129</v>
      </c>
      <c r="B8" s="14" t="s">
        <v>5</v>
      </c>
      <c r="C8" s="21">
        <f>SUM(C9:C11)</f>
        <v>2415000000</v>
      </c>
      <c r="D8" s="21">
        <f>SUM(D9:D11)</f>
        <v>2939092591</v>
      </c>
      <c r="E8" s="86">
        <f>(D8/C8)</f>
        <v>1.2170155656314701</v>
      </c>
      <c r="I8" s="81"/>
      <c r="J8" s="81"/>
      <c r="K8" s="81"/>
      <c r="L8" s="86"/>
    </row>
    <row r="9" spans="1:12">
      <c r="A9" s="183"/>
      <c r="B9" s="15" t="s">
        <v>6</v>
      </c>
      <c r="C9" s="24">
        <v>0</v>
      </c>
      <c r="D9" s="24"/>
    </row>
    <row r="10" spans="1:12">
      <c r="A10" s="177" t="s">
        <v>110</v>
      </c>
      <c r="B10" s="15" t="s">
        <v>63</v>
      </c>
      <c r="C10" s="24">
        <v>2415000000</v>
      </c>
      <c r="D10" s="146">
        <v>2939092591</v>
      </c>
    </row>
    <row r="11" spans="1:12">
      <c r="A11" s="177"/>
      <c r="B11" s="15" t="s">
        <v>7</v>
      </c>
      <c r="C11" s="24">
        <v>0</v>
      </c>
      <c r="D11" s="24"/>
      <c r="F11" s="150"/>
    </row>
    <row r="12" spans="1:12">
      <c r="A12" s="184" t="s">
        <v>111</v>
      </c>
      <c r="B12" s="14" t="s">
        <v>8</v>
      </c>
      <c r="C12" s="21">
        <f>C19+C23+C31+C34</f>
        <v>5595178117.8800001</v>
      </c>
      <c r="D12" s="21">
        <f>D19+D23+D31+D34</f>
        <v>5072452501.8800001</v>
      </c>
      <c r="E12" s="86">
        <f>(D12/C12)</f>
        <v>0.90657569696850693</v>
      </c>
    </row>
    <row r="13" spans="1:12">
      <c r="A13" s="177"/>
      <c r="B13" s="16" t="s">
        <v>9</v>
      </c>
      <c r="C13" s="22">
        <f>SUM(C14:C15)</f>
        <v>0</v>
      </c>
      <c r="D13" s="22">
        <f>SUM(D14:D15)</f>
        <v>0</v>
      </c>
    </row>
    <row r="14" spans="1:12">
      <c r="A14" s="177"/>
      <c r="B14" s="15" t="s">
        <v>9</v>
      </c>
      <c r="C14" s="24">
        <v>0</v>
      </c>
      <c r="D14" s="24"/>
      <c r="F14" s="81"/>
    </row>
    <row r="15" spans="1:12" ht="12.75" customHeight="1">
      <c r="A15" s="177"/>
      <c r="B15" s="62" t="s">
        <v>69</v>
      </c>
      <c r="C15" s="24">
        <v>0</v>
      </c>
      <c r="D15" s="24">
        <v>0</v>
      </c>
    </row>
    <row r="16" spans="1:12">
      <c r="A16" s="177"/>
      <c r="B16" s="16" t="s">
        <v>11</v>
      </c>
      <c r="C16" s="25">
        <v>0</v>
      </c>
      <c r="D16" s="25"/>
    </row>
    <row r="17" spans="1:12">
      <c r="A17" s="177"/>
      <c r="B17" s="16" t="s">
        <v>12</v>
      </c>
      <c r="C17" s="25">
        <v>0</v>
      </c>
      <c r="D17" s="25"/>
    </row>
    <row r="18" spans="1:12">
      <c r="A18" s="177"/>
      <c r="B18" s="16" t="s">
        <v>13</v>
      </c>
      <c r="C18" s="25">
        <v>0</v>
      </c>
      <c r="D18" s="25"/>
      <c r="E18" s="145"/>
    </row>
    <row r="19" spans="1:12">
      <c r="A19" s="177"/>
      <c r="B19" s="16" t="s">
        <v>14</v>
      </c>
      <c r="C19" s="22">
        <f>SUM(C20:C22)</f>
        <v>4003279944.8800001</v>
      </c>
      <c r="D19" s="25">
        <f>SUM(D20:D22)</f>
        <v>3843279944.8800001</v>
      </c>
      <c r="E19" s="150"/>
    </row>
    <row r="20" spans="1:12">
      <c r="A20" s="177" t="s">
        <v>132</v>
      </c>
      <c r="B20" s="15" t="s">
        <v>15</v>
      </c>
      <c r="C20" s="140">
        <f>2400000000+519890677</f>
        <v>2919890677</v>
      </c>
      <c r="D20" s="146">
        <v>2919890677</v>
      </c>
      <c r="E20" s="145"/>
    </row>
    <row r="21" spans="1:12">
      <c r="A21" s="177"/>
      <c r="B21" s="15" t="s">
        <v>71</v>
      </c>
      <c r="C21" s="151">
        <f>1128389267.88-45000000</f>
        <v>1083389267.8800001</v>
      </c>
      <c r="D21" s="24">
        <v>923389267.88</v>
      </c>
    </row>
    <row r="22" spans="1:12">
      <c r="A22" s="177"/>
      <c r="B22" s="15" t="s">
        <v>16</v>
      </c>
      <c r="C22" s="24">
        <v>0</v>
      </c>
      <c r="D22" s="24"/>
      <c r="E22" s="145"/>
    </row>
    <row r="23" spans="1:12">
      <c r="A23" s="177" t="s">
        <v>113</v>
      </c>
      <c r="B23" s="16" t="s">
        <v>104</v>
      </c>
      <c r="C23" s="22">
        <f>SUM(C24:C30)</f>
        <v>1075898173</v>
      </c>
      <c r="D23" s="22">
        <f>SUM(D24:D30)</f>
        <v>985536533.25</v>
      </c>
    </row>
    <row r="24" spans="1:12">
      <c r="A24" s="177" t="s">
        <v>114</v>
      </c>
      <c r="B24" s="15" t="s">
        <v>74</v>
      </c>
      <c r="C24" s="24">
        <v>234000000</v>
      </c>
      <c r="D24" s="24">
        <v>131251374</v>
      </c>
      <c r="E24" s="110">
        <f>D24/C24</f>
        <v>0.56090330769230767</v>
      </c>
    </row>
    <row r="25" spans="1:12">
      <c r="A25" s="177"/>
      <c r="B25" s="15" t="s">
        <v>18</v>
      </c>
      <c r="C25" s="24">
        <v>0</v>
      </c>
      <c r="D25" s="24">
        <v>0</v>
      </c>
      <c r="I25" s="117" t="s">
        <v>65</v>
      </c>
    </row>
    <row r="26" spans="1:12">
      <c r="A26" s="177" t="s">
        <v>130</v>
      </c>
      <c r="B26" s="15" t="s">
        <v>19</v>
      </c>
      <c r="C26" s="24">
        <f>210000000+93698173</f>
        <v>303698173</v>
      </c>
      <c r="D26" s="146">
        <v>419055375.25</v>
      </c>
      <c r="E26" s="110">
        <f>D26/C26</f>
        <v>1.3798416075752948</v>
      </c>
      <c r="H26" s="116"/>
    </row>
    <row r="27" spans="1:12">
      <c r="A27" s="177" t="s">
        <v>115</v>
      </c>
      <c r="B27" s="15" t="s">
        <v>67</v>
      </c>
      <c r="C27" s="24">
        <v>0</v>
      </c>
      <c r="D27" s="24">
        <v>0</v>
      </c>
      <c r="E27" s="110"/>
      <c r="H27" s="113" t="s">
        <v>3</v>
      </c>
      <c r="I27" s="135">
        <f>L46</f>
        <v>80.751396127442206</v>
      </c>
    </row>
    <row r="28" spans="1:12">
      <c r="A28" s="177" t="s">
        <v>116</v>
      </c>
      <c r="B28" s="15" t="s">
        <v>10</v>
      </c>
      <c r="C28" s="24">
        <v>298200000</v>
      </c>
      <c r="D28" s="24">
        <v>244381974</v>
      </c>
      <c r="E28" s="110"/>
      <c r="H28" s="113" t="s">
        <v>4</v>
      </c>
      <c r="I28" s="135">
        <f>L47</f>
        <v>49.277027882612494</v>
      </c>
    </row>
    <row r="29" spans="1:12">
      <c r="A29" s="177" t="s">
        <v>131</v>
      </c>
      <c r="B29" s="108" t="s">
        <v>122</v>
      </c>
      <c r="C29" s="109">
        <f>210000000</f>
        <v>210000000</v>
      </c>
      <c r="D29" s="109">
        <v>188672069</v>
      </c>
      <c r="E29" s="110">
        <f>D29/C29</f>
        <v>0.89843842380952377</v>
      </c>
      <c r="G29" s="110"/>
      <c r="H29" s="113" t="s">
        <v>20</v>
      </c>
      <c r="I29" s="135">
        <f>L50</f>
        <v>50.722972117387499</v>
      </c>
    </row>
    <row r="30" spans="1:12">
      <c r="A30" s="177" t="s">
        <v>141</v>
      </c>
      <c r="B30" s="108" t="s">
        <v>123</v>
      </c>
      <c r="C30" s="109">
        <v>30000000</v>
      </c>
      <c r="D30" s="109">
        <v>2175741</v>
      </c>
      <c r="E30" s="110"/>
      <c r="G30" s="110"/>
      <c r="H30" s="114" t="s">
        <v>33</v>
      </c>
      <c r="I30" s="135">
        <f>L51</f>
        <v>19.248603872557794</v>
      </c>
    </row>
    <row r="31" spans="1:12">
      <c r="A31" s="177" t="s">
        <v>137</v>
      </c>
      <c r="B31" s="16" t="s">
        <v>105</v>
      </c>
      <c r="C31" s="25">
        <f>C33+C32</f>
        <v>300000000</v>
      </c>
      <c r="D31" s="25">
        <f>D33+D32</f>
        <v>71139484</v>
      </c>
      <c r="E31" s="110"/>
      <c r="H31" s="114" t="s">
        <v>37</v>
      </c>
      <c r="I31" s="130">
        <f>I27+I30</f>
        <v>100</v>
      </c>
      <c r="J31" s="111"/>
      <c r="K31" s="111"/>
      <c r="L31" s="111"/>
    </row>
    <row r="32" spans="1:12">
      <c r="A32" s="177" t="s">
        <v>118</v>
      </c>
      <c r="B32" s="15" t="s">
        <v>106</v>
      </c>
      <c r="C32" s="24"/>
      <c r="D32" s="147"/>
      <c r="E32" s="110"/>
      <c r="J32" s="111"/>
      <c r="K32" s="111"/>
      <c r="L32" s="111"/>
    </row>
    <row r="33" spans="1:12" ht="22.5">
      <c r="A33" s="177" t="s">
        <v>117</v>
      </c>
      <c r="B33" s="62" t="s">
        <v>68</v>
      </c>
      <c r="C33" s="24">
        <v>300000000</v>
      </c>
      <c r="D33" s="24">
        <v>71139484</v>
      </c>
      <c r="E33" s="110">
        <f t="shared" ref="E33" si="0">D33/C33</f>
        <v>0.23713161333333332</v>
      </c>
    </row>
    <row r="34" spans="1:12">
      <c r="A34" s="177" t="s">
        <v>119</v>
      </c>
      <c r="B34" s="16" t="s">
        <v>17</v>
      </c>
      <c r="C34" s="134">
        <f>C35+C36+C37</f>
        <v>216000000</v>
      </c>
      <c r="D34" s="25">
        <f>D35+D36+D37+D38</f>
        <v>172496539.75</v>
      </c>
      <c r="H34" s="111"/>
    </row>
    <row r="35" spans="1:12">
      <c r="A35" s="177" t="s">
        <v>120</v>
      </c>
      <c r="B35" s="15" t="s">
        <v>70</v>
      </c>
      <c r="C35" s="133">
        <v>206000000</v>
      </c>
      <c r="D35" s="24">
        <v>156372786</v>
      </c>
      <c r="E35" s="145">
        <f>156372786-D35</f>
        <v>0</v>
      </c>
      <c r="H35" s="111"/>
    </row>
    <row r="36" spans="1:12">
      <c r="A36" s="177" t="s">
        <v>121</v>
      </c>
      <c r="B36" s="15" t="s">
        <v>112</v>
      </c>
      <c r="C36" s="133">
        <v>0</v>
      </c>
      <c r="D36" s="24">
        <v>0</v>
      </c>
      <c r="H36" s="111"/>
    </row>
    <row r="37" spans="1:12">
      <c r="A37" s="185"/>
      <c r="B37" s="171" t="s">
        <v>17</v>
      </c>
      <c r="C37" s="133">
        <v>10000000</v>
      </c>
      <c r="D37" s="24">
        <v>308425.75</v>
      </c>
      <c r="H37" s="111"/>
    </row>
    <row r="38" spans="1:12" ht="22.5">
      <c r="A38" s="177" t="s">
        <v>155</v>
      </c>
      <c r="B38" s="172" t="s">
        <v>156</v>
      </c>
      <c r="C38" s="159"/>
      <c r="D38" s="24">
        <v>15815328</v>
      </c>
      <c r="H38" s="111"/>
    </row>
    <row r="39" spans="1:12">
      <c r="A39" s="186" t="s">
        <v>107</v>
      </c>
      <c r="B39" s="99" t="s">
        <v>20</v>
      </c>
      <c r="C39" s="100">
        <f>C46+C47+C49</f>
        <v>7477806462.5</v>
      </c>
      <c r="D39" s="100">
        <f>D46+D47+D49</f>
        <v>8246629227.1400003</v>
      </c>
      <c r="E39" s="86">
        <f>(D39/C39)</f>
        <v>1.1028139426308401</v>
      </c>
      <c r="H39" s="111"/>
      <c r="I39" s="112"/>
      <c r="J39" s="112"/>
      <c r="K39" s="112"/>
      <c r="L39" s="112"/>
    </row>
    <row r="40" spans="1:12">
      <c r="A40" s="179"/>
      <c r="B40" s="17" t="s">
        <v>21</v>
      </c>
      <c r="C40" s="23">
        <f>SUM(C41:C42)</f>
        <v>0</v>
      </c>
      <c r="D40" s="23">
        <f>SUM(D41:D42)</f>
        <v>0</v>
      </c>
    </row>
    <row r="41" spans="1:12">
      <c r="A41" s="179"/>
      <c r="B41" s="15" t="s">
        <v>22</v>
      </c>
      <c r="C41" s="24">
        <v>0</v>
      </c>
      <c r="D41" s="24"/>
    </row>
    <row r="42" spans="1:12">
      <c r="A42" s="177"/>
      <c r="B42" s="15" t="s">
        <v>23</v>
      </c>
      <c r="C42" s="24">
        <v>0</v>
      </c>
      <c r="D42" s="24"/>
    </row>
    <row r="43" spans="1:12">
      <c r="A43" s="179"/>
      <c r="B43" s="17" t="s">
        <v>24</v>
      </c>
      <c r="C43" s="23">
        <f>SUM(C44:C45)</f>
        <v>0</v>
      </c>
      <c r="D43" s="23">
        <f>SUM(D44:D45)</f>
        <v>0</v>
      </c>
    </row>
    <row r="44" spans="1:12">
      <c r="A44" s="179"/>
      <c r="B44" s="15" t="s">
        <v>22</v>
      </c>
      <c r="C44" s="24">
        <v>0</v>
      </c>
      <c r="D44" s="24"/>
    </row>
    <row r="45" spans="1:12">
      <c r="A45" s="177"/>
      <c r="B45" s="15" t="s">
        <v>23</v>
      </c>
      <c r="C45" s="24">
        <v>0</v>
      </c>
      <c r="D45" s="24"/>
      <c r="H45" s="116"/>
      <c r="I45" s="117" t="s">
        <v>64</v>
      </c>
      <c r="J45" s="117" t="s">
        <v>101</v>
      </c>
      <c r="K45" s="117" t="s">
        <v>65</v>
      </c>
      <c r="L45" s="117" t="s">
        <v>101</v>
      </c>
    </row>
    <row r="46" spans="1:12">
      <c r="A46" s="177" t="s">
        <v>108</v>
      </c>
      <c r="B46" s="82" t="s">
        <v>25</v>
      </c>
      <c r="C46" s="83">
        <f>89599000+23108421</f>
        <v>112707421</v>
      </c>
      <c r="D46" s="83">
        <v>769626814.63999999</v>
      </c>
      <c r="H46" s="113" t="s">
        <v>3</v>
      </c>
      <c r="I46" s="115">
        <f>I47+I50</f>
        <v>15487984580.380001</v>
      </c>
      <c r="J46" s="128">
        <f>I46/I52*100</f>
        <v>66.400912840459924</v>
      </c>
      <c r="K46" s="115">
        <f>K47+K50</f>
        <v>16258174320.02</v>
      </c>
      <c r="L46" s="135">
        <f>K46/K52*100</f>
        <v>80.751396127442206</v>
      </c>
    </row>
    <row r="47" spans="1:12">
      <c r="A47" s="178" t="s">
        <v>133</v>
      </c>
      <c r="B47" s="17" t="s">
        <v>26</v>
      </c>
      <c r="C47" s="23">
        <f>C48+C53+C52</f>
        <v>5199997041.5</v>
      </c>
      <c r="D47" s="23">
        <f>D48+D53+D52</f>
        <v>5311900412.5</v>
      </c>
      <c r="H47" s="113" t="s">
        <v>4</v>
      </c>
      <c r="I47" s="115">
        <f>I48+I49</f>
        <v>8010178117.8800001</v>
      </c>
      <c r="J47" s="128">
        <f>I47/I46*100</f>
        <v>51.718660205971545</v>
      </c>
      <c r="K47" s="115">
        <f>K48+K49</f>
        <v>8011545092.8800001</v>
      </c>
      <c r="L47" s="135">
        <f>K47/K46*100</f>
        <v>49.277027882612494</v>
      </c>
    </row>
    <row r="48" spans="1:12">
      <c r="A48" s="179" t="s">
        <v>142</v>
      </c>
      <c r="B48" s="15" t="s">
        <v>27</v>
      </c>
      <c r="C48" s="47">
        <v>47542800.5</v>
      </c>
      <c r="D48" s="47">
        <v>47542800.5</v>
      </c>
      <c r="H48" s="113" t="s">
        <v>5</v>
      </c>
      <c r="I48" s="115">
        <v>2415000000</v>
      </c>
      <c r="J48" s="128">
        <f>I48/I47*100</f>
        <v>30.149142309449189</v>
      </c>
      <c r="K48" s="115">
        <f>D8</f>
        <v>2939092591</v>
      </c>
      <c r="L48" s="135"/>
    </row>
    <row r="49" spans="1:12">
      <c r="A49" s="179"/>
      <c r="B49" s="15" t="s">
        <v>28</v>
      </c>
      <c r="C49" s="47">
        <v>2165102000</v>
      </c>
      <c r="D49" s="148">
        <v>2165102000</v>
      </c>
      <c r="H49" s="113" t="s">
        <v>8</v>
      </c>
      <c r="I49" s="115">
        <f>C12</f>
        <v>5595178117.8800001</v>
      </c>
      <c r="J49" s="128">
        <f>I49/I47*100</f>
        <v>69.850857690550811</v>
      </c>
      <c r="K49" s="115">
        <f>D12</f>
        <v>5072452501.8800001</v>
      </c>
      <c r="L49" s="135"/>
    </row>
    <row r="50" spans="1:12">
      <c r="A50" s="179"/>
      <c r="B50" s="15" t="s">
        <v>29</v>
      </c>
      <c r="C50" s="47">
        <v>0</v>
      </c>
      <c r="D50" s="47"/>
      <c r="H50" s="113" t="s">
        <v>20</v>
      </c>
      <c r="I50" s="115">
        <f>C39</f>
        <v>7477806462.5</v>
      </c>
      <c r="J50" s="129">
        <f>I50/I46*100</f>
        <v>48.281339794028447</v>
      </c>
      <c r="K50" s="115">
        <f>D39</f>
        <v>8246629227.1400003</v>
      </c>
      <c r="L50" s="135">
        <f>K50/K46*100</f>
        <v>50.722972117387499</v>
      </c>
    </row>
    <row r="51" spans="1:12">
      <c r="A51" s="179"/>
      <c r="B51" s="15" t="s">
        <v>30</v>
      </c>
      <c r="C51" s="47">
        <v>0</v>
      </c>
      <c r="D51" s="47"/>
      <c r="H51" s="114" t="s">
        <v>33</v>
      </c>
      <c r="I51" s="115">
        <f>C58</f>
        <v>7836972740</v>
      </c>
      <c r="J51" s="128">
        <f>I51/I52*100</f>
        <v>33.599087159540076</v>
      </c>
      <c r="K51" s="115">
        <f>D58</f>
        <v>3875439586</v>
      </c>
      <c r="L51" s="135">
        <f>K51/K52*100</f>
        <v>19.248603872557794</v>
      </c>
    </row>
    <row r="52" spans="1:12" ht="13.5" thickBot="1">
      <c r="A52" s="216"/>
      <c r="B52" s="219" t="s">
        <v>31</v>
      </c>
      <c r="C52" s="220">
        <v>382460937</v>
      </c>
      <c r="D52" s="220">
        <v>382460937</v>
      </c>
      <c r="H52" s="114" t="s">
        <v>37</v>
      </c>
      <c r="I52" s="115">
        <f>I46+I51</f>
        <v>23324957320.380001</v>
      </c>
      <c r="J52" s="115">
        <f>J46+J51</f>
        <v>100</v>
      </c>
      <c r="K52" s="115">
        <f>K46+K51</f>
        <v>20133613906.02</v>
      </c>
      <c r="L52" s="135">
        <f>K52/I52*100</f>
        <v>86.317902448757806</v>
      </c>
    </row>
    <row r="53" spans="1:12" ht="13.5" thickBot="1">
      <c r="A53" s="218" t="s">
        <v>133</v>
      </c>
      <c r="B53" s="223" t="s">
        <v>124</v>
      </c>
      <c r="C53" s="224">
        <f>C54+C55</f>
        <v>4769993304</v>
      </c>
      <c r="D53" s="225">
        <f>D54+D55</f>
        <v>4881896675</v>
      </c>
      <c r="H53" s="142"/>
      <c r="I53" s="143"/>
      <c r="J53" s="143"/>
      <c r="K53" s="143"/>
      <c r="L53" s="144"/>
    </row>
    <row r="54" spans="1:12" ht="22.5">
      <c r="A54" s="217" t="s">
        <v>135</v>
      </c>
      <c r="B54" s="221" t="s">
        <v>125</v>
      </c>
      <c r="C54" s="222">
        <f>337620000+2194603025</f>
        <v>2532223025</v>
      </c>
      <c r="D54" s="222">
        <v>2615559605</v>
      </c>
      <c r="H54" s="142"/>
      <c r="I54" s="143"/>
      <c r="J54" s="143"/>
      <c r="K54" s="143"/>
      <c r="L54" s="144"/>
    </row>
    <row r="55" spans="1:12">
      <c r="A55" s="175" t="s">
        <v>134</v>
      </c>
      <c r="B55" s="15" t="s">
        <v>126</v>
      </c>
      <c r="C55" s="47">
        <f>1000000000+1237770279</f>
        <v>2237770279</v>
      </c>
      <c r="D55" s="47">
        <v>2266337070</v>
      </c>
      <c r="H55" s="142"/>
      <c r="I55" s="143"/>
      <c r="J55" s="143"/>
      <c r="K55" s="143"/>
      <c r="L55" s="144"/>
    </row>
    <row r="56" spans="1:12">
      <c r="A56" s="176" t="s">
        <v>157</v>
      </c>
      <c r="B56" s="15" t="s">
        <v>158</v>
      </c>
      <c r="C56" s="47">
        <v>382460937.5</v>
      </c>
      <c r="D56" s="47">
        <v>382460937.5</v>
      </c>
      <c r="H56" s="142"/>
      <c r="I56" s="143"/>
      <c r="J56" s="143"/>
      <c r="K56" s="143"/>
      <c r="L56" s="144"/>
    </row>
    <row r="57" spans="1:12" ht="13.5" thickBot="1">
      <c r="A57" s="176"/>
      <c r="B57" s="210" t="s">
        <v>32</v>
      </c>
      <c r="C57" s="211">
        <v>0</v>
      </c>
      <c r="D57" s="211"/>
    </row>
    <row r="58" spans="1:12" ht="13.5" thickBot="1">
      <c r="A58" s="209" t="s">
        <v>109</v>
      </c>
      <c r="B58" s="214" t="s">
        <v>33</v>
      </c>
      <c r="C58" s="215">
        <f>C59+C63</f>
        <v>7836972740</v>
      </c>
      <c r="D58" s="215">
        <f>D59+D63</f>
        <v>3875439586</v>
      </c>
      <c r="E58" s="86">
        <f>(D58/C58)</f>
        <v>0.49450721784697699</v>
      </c>
    </row>
    <row r="59" spans="1:12">
      <c r="A59" s="173" t="s">
        <v>136</v>
      </c>
      <c r="B59" s="212" t="s">
        <v>34</v>
      </c>
      <c r="C59" s="213">
        <f>C60+C61</f>
        <v>3040739812</v>
      </c>
      <c r="D59" s="213">
        <f>D60+D61</f>
        <v>3037900054</v>
      </c>
    </row>
    <row r="60" spans="1:12">
      <c r="A60" s="173"/>
      <c r="B60" s="204" t="s">
        <v>168</v>
      </c>
      <c r="C60" s="206">
        <v>2876255000</v>
      </c>
      <c r="D60" s="206">
        <v>2873415242</v>
      </c>
    </row>
    <row r="61" spans="1:12">
      <c r="A61" s="173"/>
      <c r="B61" s="204" t="s">
        <v>163</v>
      </c>
      <c r="C61" s="206">
        <v>164484812</v>
      </c>
      <c r="D61" s="206">
        <v>164484812</v>
      </c>
    </row>
    <row r="62" spans="1:12">
      <c r="A62" s="173"/>
      <c r="B62" s="18" t="s">
        <v>35</v>
      </c>
      <c r="C62" s="26">
        <v>0</v>
      </c>
      <c r="D62" s="26"/>
    </row>
    <row r="63" spans="1:12">
      <c r="A63" s="174"/>
      <c r="B63" s="93" t="s">
        <v>36</v>
      </c>
      <c r="C63" s="26">
        <f>SUM(C64:C65)</f>
        <v>4796232928</v>
      </c>
      <c r="D63" s="26">
        <f>SUM(D64:D65)</f>
        <v>837539532</v>
      </c>
    </row>
    <row r="64" spans="1:12">
      <c r="A64" s="174" t="s">
        <v>140</v>
      </c>
      <c r="B64" s="205" t="s">
        <v>139</v>
      </c>
      <c r="C64" s="206">
        <f>2116523876-164484812</f>
        <v>1952039064</v>
      </c>
      <c r="D64" s="207">
        <f>1002024344-164484812</f>
        <v>837539532</v>
      </c>
    </row>
    <row r="65" spans="1:8">
      <c r="A65" s="174" t="s">
        <v>159</v>
      </c>
      <c r="B65" s="205" t="s">
        <v>160</v>
      </c>
      <c r="C65" s="208">
        <v>2844193864</v>
      </c>
      <c r="D65" s="207">
        <v>0</v>
      </c>
    </row>
    <row r="66" spans="1:8" ht="13.5" thickBot="1">
      <c r="A66" s="92"/>
      <c r="B66" s="93"/>
      <c r="C66" s="94"/>
      <c r="D66" s="94"/>
    </row>
    <row r="67" spans="1:8" ht="13.5" thickBot="1">
      <c r="A67" s="95"/>
      <c r="B67" s="96" t="s">
        <v>37</v>
      </c>
      <c r="C67" s="97">
        <f>+C6+C58</f>
        <v>23324957320.380001</v>
      </c>
      <c r="D67" s="98">
        <f>+D6+D58</f>
        <v>20133613906.02</v>
      </c>
      <c r="E67" s="86">
        <f>(D67/C67)</f>
        <v>0.86317902448757799</v>
      </c>
    </row>
    <row r="68" spans="1:8" ht="13.5" customHeight="1">
      <c r="A68" s="227"/>
      <c r="B68" s="227"/>
      <c r="C68" s="227"/>
      <c r="D68" s="227"/>
      <c r="F68" s="86"/>
    </row>
    <row r="69" spans="1:8" ht="13.5" customHeight="1">
      <c r="A69" s="228"/>
      <c r="B69" s="228"/>
      <c r="C69" s="228"/>
      <c r="D69" s="228"/>
      <c r="H69" s="81"/>
    </row>
    <row r="70" spans="1:8">
      <c r="A70" s="2"/>
      <c r="B70" s="2"/>
      <c r="C70" s="2"/>
      <c r="D70" s="2"/>
    </row>
    <row r="71" spans="1:8">
      <c r="A71" s="2"/>
      <c r="B71" s="2"/>
      <c r="C71" s="2"/>
      <c r="D71" s="2"/>
    </row>
    <row r="72" spans="1:8">
      <c r="A72" s="2"/>
      <c r="B72" s="2"/>
      <c r="C72" s="139"/>
      <c r="D72" s="139"/>
      <c r="E72" s="137"/>
    </row>
    <row r="73" spans="1:8">
      <c r="A73" s="2"/>
      <c r="B73" s="2"/>
      <c r="C73" s="2"/>
      <c r="D73" s="2"/>
    </row>
    <row r="74" spans="1:8" ht="25.5">
      <c r="A74" s="2"/>
      <c r="B74" s="2"/>
      <c r="C74" s="2"/>
      <c r="D74" s="141"/>
    </row>
    <row r="75" spans="1:8">
      <c r="A75" s="2"/>
      <c r="B75" s="2"/>
      <c r="C75" s="2"/>
      <c r="D75" s="2"/>
    </row>
  </sheetData>
  <mergeCells count="6">
    <mergeCell ref="A1:D1"/>
    <mergeCell ref="A68:D68"/>
    <mergeCell ref="A69:D69"/>
    <mergeCell ref="A2:D2"/>
    <mergeCell ref="A3:D3"/>
    <mergeCell ref="A4:D4"/>
  </mergeCells>
  <phoneticPr fontId="9" type="noConversion"/>
  <printOptions horizontalCentered="1" verticalCentered="1"/>
  <pageMargins left="0.98425196850393704" right="0.98425196850393704" top="0.98425196850393704" bottom="0.98425196850393704" header="0" footer="0"/>
  <pageSetup paperSize="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tabSelected="1" topLeftCell="A13" zoomScaleNormal="100" zoomScaleSheetLayoutView="100" workbookViewId="0">
      <selection activeCell="G43" sqref="G43"/>
    </sheetView>
  </sheetViews>
  <sheetFormatPr baseColWidth="10" defaultRowHeight="12.75"/>
  <cols>
    <col min="1" max="1" width="42" customWidth="1"/>
    <col min="2" max="2" width="17.140625" customWidth="1"/>
    <col min="3" max="3" width="18.28515625" customWidth="1"/>
    <col min="4" max="4" width="16.7109375" customWidth="1"/>
    <col min="5" max="5" width="19.140625" customWidth="1"/>
    <col min="6" max="6" width="18" customWidth="1"/>
    <col min="7" max="7" width="17.85546875" customWidth="1"/>
    <col min="9" max="9" width="23.42578125" customWidth="1"/>
    <col min="10" max="10" width="23.5703125" customWidth="1"/>
    <col min="11" max="11" width="15.28515625" customWidth="1"/>
    <col min="12" max="12" width="17.42578125" customWidth="1"/>
  </cols>
  <sheetData>
    <row r="1" spans="1:13" ht="13.5" thickBot="1">
      <c r="A1" s="230" t="s">
        <v>59</v>
      </c>
      <c r="B1" s="230"/>
      <c r="C1" s="230"/>
      <c r="D1" s="230"/>
      <c r="E1" s="230"/>
      <c r="F1" s="230"/>
      <c r="G1" s="230"/>
    </row>
    <row r="2" spans="1:13">
      <c r="A2" s="232" t="s">
        <v>1</v>
      </c>
      <c r="B2" s="233"/>
      <c r="C2" s="233"/>
      <c r="D2" s="233"/>
      <c r="E2" s="233"/>
      <c r="F2" s="233"/>
      <c r="G2" s="234"/>
    </row>
    <row r="3" spans="1:13">
      <c r="A3" s="235" t="s">
        <v>72</v>
      </c>
      <c r="B3" s="229"/>
      <c r="C3" s="229"/>
      <c r="D3" s="229"/>
      <c r="E3" s="229"/>
      <c r="F3" s="229"/>
      <c r="G3" s="236"/>
    </row>
    <row r="4" spans="1:13" ht="13.5" thickBot="1">
      <c r="A4" s="3" t="s">
        <v>138</v>
      </c>
      <c r="B4" s="4"/>
      <c r="C4" s="152">
        <v>42003</v>
      </c>
      <c r="D4" s="4"/>
      <c r="E4" s="4"/>
      <c r="F4" s="4"/>
      <c r="G4" s="5"/>
    </row>
    <row r="5" spans="1:13" ht="33" customHeight="1" thickBot="1">
      <c r="A5" s="243" t="s">
        <v>38</v>
      </c>
      <c r="B5" s="237" t="s">
        <v>39</v>
      </c>
      <c r="C5" s="238"/>
      <c r="D5" s="239" t="s">
        <v>40</v>
      </c>
      <c r="E5" s="240"/>
      <c r="F5" s="241" t="s">
        <v>41</v>
      </c>
      <c r="G5" s="242"/>
      <c r="K5" s="27" t="s">
        <v>0</v>
      </c>
      <c r="L5" s="28" t="s">
        <v>66</v>
      </c>
    </row>
    <row r="6" spans="1:13" ht="21.75" customHeight="1" thickBot="1">
      <c r="A6" s="244"/>
      <c r="B6" s="27" t="s">
        <v>0</v>
      </c>
      <c r="C6" s="28" t="s">
        <v>66</v>
      </c>
      <c r="D6" s="27" t="s">
        <v>0</v>
      </c>
      <c r="E6" s="28" t="s">
        <v>66</v>
      </c>
      <c r="F6" s="27" t="s">
        <v>0</v>
      </c>
      <c r="G6" s="28" t="s">
        <v>66</v>
      </c>
      <c r="J6" s="6" t="s">
        <v>77</v>
      </c>
      <c r="K6" s="118">
        <f>F23</f>
        <v>8767518416.8800011</v>
      </c>
      <c r="L6" s="118">
        <f>G23</f>
        <v>8090619932.3700008</v>
      </c>
      <c r="M6">
        <f>L6/K6*100</f>
        <v>92.279474620700256</v>
      </c>
    </row>
    <row r="7" spans="1:13" ht="13.5" thickBot="1">
      <c r="A7" s="6" t="s">
        <v>42</v>
      </c>
      <c r="B7" s="46">
        <f>743428486-21601648+213803938+50200802</f>
        <v>985831578</v>
      </c>
      <c r="C7" s="46">
        <v>964938462</v>
      </c>
      <c r="D7" s="46">
        <f>2483679000-164484812+141012191+164484812</f>
        <v>2624691191</v>
      </c>
      <c r="E7" s="132">
        <v>2621851429</v>
      </c>
      <c r="F7" s="33">
        <f>+B7+D7</f>
        <v>3610522769</v>
      </c>
      <c r="G7" s="34">
        <f>+C7+E7</f>
        <v>3586789891</v>
      </c>
      <c r="I7" s="86"/>
      <c r="J7" s="6" t="s">
        <v>78</v>
      </c>
      <c r="K7" s="118">
        <f>F25</f>
        <v>14557438899.549999</v>
      </c>
      <c r="L7" s="118">
        <f>G25</f>
        <v>11552511947.540001</v>
      </c>
      <c r="M7">
        <f>L7/K7*100</f>
        <v>79.358134540390296</v>
      </c>
    </row>
    <row r="8" spans="1:13">
      <c r="A8" s="29" t="s">
        <v>43</v>
      </c>
      <c r="B8" s="35">
        <f>B9+B10</f>
        <v>2751411191.8800001</v>
      </c>
      <c r="C8" s="35">
        <f>C9+C10</f>
        <v>2460541414.52</v>
      </c>
      <c r="D8" s="35">
        <f>SUM(D9:D10)</f>
        <v>416048621</v>
      </c>
      <c r="E8" s="35">
        <f>E9+E10</f>
        <v>416048621</v>
      </c>
      <c r="F8" s="35">
        <f t="shared" ref="F8:F47" si="0">+B8+D8</f>
        <v>3167459812.8800001</v>
      </c>
      <c r="G8" s="36">
        <f t="shared" ref="G8:G48" si="1">+C8+E8</f>
        <v>2876590035.52</v>
      </c>
      <c r="J8" s="111" t="s">
        <v>76</v>
      </c>
      <c r="K8" s="118">
        <f>F49</f>
        <v>23324957316.43</v>
      </c>
      <c r="L8" s="118">
        <f>G49</f>
        <v>19643131879.91</v>
      </c>
      <c r="M8">
        <f>L8/K8*100</f>
        <v>84.215081783122756</v>
      </c>
    </row>
    <row r="9" spans="1:13" ht="13.5">
      <c r="A9" s="7" t="s">
        <v>62</v>
      </c>
      <c r="B9" s="63">
        <f>2248550514-501799367+372199367+112562664+429120043.88</f>
        <v>2660633221.8800001</v>
      </c>
      <c r="C9" s="63">
        <v>2374773820.52</v>
      </c>
      <c r="D9" s="63">
        <f>337738000-23472621+46945242</f>
        <v>361210621</v>
      </c>
      <c r="E9" s="63">
        <v>361210621</v>
      </c>
      <c r="F9" s="50">
        <f t="shared" si="0"/>
        <v>3021843842.8800001</v>
      </c>
      <c r="G9" s="38">
        <f t="shared" si="1"/>
        <v>2735984441.52</v>
      </c>
    </row>
    <row r="10" spans="1:13" ht="14.25" thickBot="1">
      <c r="A10" s="8" t="s">
        <v>44</v>
      </c>
      <c r="B10" s="63">
        <f>55900000-11450000+450000+45877970</f>
        <v>90777970</v>
      </c>
      <c r="C10" s="64">
        <v>85767594</v>
      </c>
      <c r="D10" s="63">
        <v>54838000</v>
      </c>
      <c r="E10" s="64">
        <v>54838000</v>
      </c>
      <c r="F10" s="53">
        <f t="shared" si="0"/>
        <v>145615970</v>
      </c>
      <c r="G10" s="40">
        <f t="shared" si="1"/>
        <v>140605594</v>
      </c>
    </row>
    <row r="11" spans="1:13">
      <c r="A11" s="29" t="s">
        <v>45</v>
      </c>
      <c r="B11" s="35">
        <f>+B12+B15</f>
        <v>1292200981</v>
      </c>
      <c r="C11" s="35">
        <f>+C12+C15</f>
        <v>1184035207</v>
      </c>
      <c r="D11" s="35">
        <f>+D12+D15+D18</f>
        <v>0</v>
      </c>
      <c r="E11" s="35">
        <f>+E12+E15+E18</f>
        <v>0</v>
      </c>
      <c r="F11" s="35">
        <f t="shared" si="0"/>
        <v>1292200981</v>
      </c>
      <c r="G11" s="36">
        <f t="shared" si="1"/>
        <v>1184035207</v>
      </c>
    </row>
    <row r="12" spans="1:13">
      <c r="A12" s="9" t="s">
        <v>46</v>
      </c>
      <c r="B12" s="41">
        <f>SUM(B13:B14)</f>
        <v>1292200981</v>
      </c>
      <c r="C12" s="41">
        <f>SUM(C13+C14)</f>
        <v>1184035207</v>
      </c>
      <c r="D12" s="41">
        <f>SUM(D13:D14)</f>
        <v>0</v>
      </c>
      <c r="E12" s="41">
        <f>SUM(E13:E14)</f>
        <v>0</v>
      </c>
      <c r="F12" s="41">
        <f t="shared" si="0"/>
        <v>1292200981</v>
      </c>
      <c r="G12" s="42">
        <f t="shared" si="1"/>
        <v>1184035207</v>
      </c>
    </row>
    <row r="13" spans="1:13" ht="13.5">
      <c r="A13" s="7" t="s">
        <v>48</v>
      </c>
      <c r="B13" s="63">
        <f>616472135+285257000+20600000+61274818+308597028</f>
        <v>1292200981</v>
      </c>
      <c r="C13" s="63">
        <f>577496285+269862713+20339978+40177963+276158268</f>
        <v>1184035207</v>
      </c>
      <c r="D13" s="63">
        <v>0</v>
      </c>
      <c r="E13" s="63">
        <v>0</v>
      </c>
      <c r="F13" s="50">
        <f t="shared" si="0"/>
        <v>1292200981</v>
      </c>
      <c r="G13" s="38">
        <f t="shared" si="1"/>
        <v>1184035207</v>
      </c>
    </row>
    <row r="14" spans="1:13" ht="13.5">
      <c r="A14" s="7" t="s">
        <v>73</v>
      </c>
      <c r="B14" s="63">
        <v>0</v>
      </c>
      <c r="C14" s="88">
        <v>0</v>
      </c>
      <c r="D14" s="63">
        <v>0</v>
      </c>
      <c r="E14" s="63">
        <v>0</v>
      </c>
      <c r="F14" s="50">
        <f t="shared" si="0"/>
        <v>0</v>
      </c>
      <c r="G14" s="51">
        <f>+C14+E14</f>
        <v>0</v>
      </c>
    </row>
    <row r="15" spans="1:13">
      <c r="A15" s="9" t="s">
        <v>49</v>
      </c>
      <c r="B15" s="41">
        <f>SUM(B16:B17)</f>
        <v>0</v>
      </c>
      <c r="C15" s="41">
        <f>SUM(C16:C17)</f>
        <v>0</v>
      </c>
      <c r="D15" s="41">
        <f>SUM(D16:D17)</f>
        <v>0</v>
      </c>
      <c r="E15" s="41">
        <f>SUM(E16:E17)</f>
        <v>0</v>
      </c>
      <c r="F15" s="41">
        <f t="shared" si="0"/>
        <v>0</v>
      </c>
      <c r="G15" s="42">
        <f t="shared" si="1"/>
        <v>0</v>
      </c>
    </row>
    <row r="16" spans="1:13">
      <c r="A16" s="7" t="s">
        <v>50</v>
      </c>
      <c r="B16" s="47">
        <v>0</v>
      </c>
      <c r="C16" s="47">
        <v>0</v>
      </c>
      <c r="D16" s="47">
        <v>0</v>
      </c>
      <c r="E16" s="47">
        <v>0</v>
      </c>
      <c r="F16" s="37">
        <f t="shared" si="0"/>
        <v>0</v>
      </c>
      <c r="G16" s="38">
        <f t="shared" si="1"/>
        <v>0</v>
      </c>
    </row>
    <row r="17" spans="1:9">
      <c r="A17" s="7" t="s">
        <v>51</v>
      </c>
      <c r="B17" s="47">
        <v>0</v>
      </c>
      <c r="C17" s="47">
        <v>0</v>
      </c>
      <c r="D17" s="47">
        <v>0</v>
      </c>
      <c r="E17" s="47">
        <v>0</v>
      </c>
      <c r="F17" s="37">
        <f t="shared" si="0"/>
        <v>0</v>
      </c>
      <c r="G17" s="38">
        <f t="shared" si="1"/>
        <v>0</v>
      </c>
    </row>
    <row r="18" spans="1:9">
      <c r="A18" s="9" t="s">
        <v>52</v>
      </c>
      <c r="B18" s="41">
        <f>B19+B21+B22</f>
        <v>697334854</v>
      </c>
      <c r="C18" s="41">
        <f>+C19+C21+C22</f>
        <v>443204798.85000002</v>
      </c>
      <c r="D18" s="41">
        <f>+D19+D22</f>
        <v>0</v>
      </c>
      <c r="E18" s="41">
        <f>+E19+E22</f>
        <v>0</v>
      </c>
      <c r="F18" s="41">
        <f t="shared" si="0"/>
        <v>697334854</v>
      </c>
      <c r="G18" s="42">
        <f t="shared" si="1"/>
        <v>443204798.85000002</v>
      </c>
    </row>
    <row r="19" spans="1:9">
      <c r="A19" s="9" t="s">
        <v>53</v>
      </c>
      <c r="B19" s="41">
        <f>B20</f>
        <v>525351634</v>
      </c>
      <c r="C19" s="41">
        <f>+C20</f>
        <v>293101134</v>
      </c>
      <c r="D19" s="41">
        <f>+D20</f>
        <v>0</v>
      </c>
      <c r="E19" s="41">
        <f>+E20</f>
        <v>0</v>
      </c>
      <c r="F19" s="41">
        <f t="shared" si="0"/>
        <v>525351634</v>
      </c>
      <c r="G19" s="42">
        <f t="shared" si="1"/>
        <v>293101134</v>
      </c>
    </row>
    <row r="20" spans="1:9">
      <c r="A20" s="7" t="s">
        <v>54</v>
      </c>
      <c r="B20" s="47">
        <f>333120500+123731134+68500000</f>
        <v>525351634</v>
      </c>
      <c r="C20" s="47">
        <f>100870000+123731134+68500000</f>
        <v>293101134</v>
      </c>
      <c r="D20" s="47">
        <v>0</v>
      </c>
      <c r="E20" s="47">
        <v>0</v>
      </c>
      <c r="F20" s="37">
        <f>+B20+D20</f>
        <v>525351634</v>
      </c>
      <c r="G20" s="37">
        <f>+C20+E20</f>
        <v>293101134</v>
      </c>
    </row>
    <row r="21" spans="1:9" ht="13.5">
      <c r="A21" s="7" t="s">
        <v>47</v>
      </c>
      <c r="B21" s="63">
        <f>160000000-35102290+3000000</f>
        <v>127897710</v>
      </c>
      <c r="C21" s="63">
        <v>106018154.84999999</v>
      </c>
      <c r="D21" s="63">
        <v>0</v>
      </c>
      <c r="E21" s="63">
        <v>0</v>
      </c>
      <c r="F21" s="50">
        <f>+B21+D21</f>
        <v>127897710</v>
      </c>
      <c r="G21" s="38">
        <f>+C21+E21</f>
        <v>106018154.84999999</v>
      </c>
    </row>
    <row r="22" spans="1:9" ht="13.5" thickBot="1">
      <c r="A22" s="10" t="s">
        <v>75</v>
      </c>
      <c r="B22" s="48">
        <f>55000000+15000000-15000000-10914490</f>
        <v>44085510</v>
      </c>
      <c r="C22" s="48">
        <v>44085510</v>
      </c>
      <c r="D22" s="48">
        <v>0</v>
      </c>
      <c r="E22" s="48">
        <v>0</v>
      </c>
      <c r="F22" s="39">
        <f t="shared" si="0"/>
        <v>44085510</v>
      </c>
      <c r="G22" s="40">
        <f t="shared" si="1"/>
        <v>44085510</v>
      </c>
    </row>
    <row r="23" spans="1:9" ht="13.5" thickBot="1">
      <c r="A23" s="6" t="s">
        <v>55</v>
      </c>
      <c r="B23" s="33">
        <f>B7+B8+B11+B18</f>
        <v>5726778604.8800001</v>
      </c>
      <c r="C23" s="33">
        <f>+C7+C8+C11+C18</f>
        <v>5052719882.3700008</v>
      </c>
      <c r="D23" s="33">
        <f>+D7+D8+D11</f>
        <v>3040739812</v>
      </c>
      <c r="E23" s="33">
        <f>E7+E8</f>
        <v>3037900050</v>
      </c>
      <c r="F23" s="33">
        <f>+B23+D23</f>
        <v>8767518416.8800011</v>
      </c>
      <c r="G23" s="34">
        <f>E23+C23</f>
        <v>8090619932.3700008</v>
      </c>
      <c r="I23" s="86">
        <f>G23/F23</f>
        <v>0.92279474620700253</v>
      </c>
    </row>
    <row r="24" spans="1:9" ht="13.5" thickBot="1">
      <c r="A24" s="30"/>
      <c r="B24" s="43"/>
      <c r="C24" s="43"/>
      <c r="D24" s="43"/>
      <c r="E24" s="43"/>
      <c r="F24" s="44"/>
      <c r="G24" s="44"/>
    </row>
    <row r="25" spans="1:9" ht="13.5" thickBot="1">
      <c r="A25" s="6" t="s">
        <v>56</v>
      </c>
      <c r="B25" s="65">
        <f>B26+B30+B33+B37+B41+B44</f>
        <v>9761205971.5499992</v>
      </c>
      <c r="C25" s="65">
        <f>C26+C30+C33+C37+C41+C44</f>
        <v>7066460819.5</v>
      </c>
      <c r="D25" s="170">
        <f>D26+D30+D33+D37+D41+D44+D46</f>
        <v>4796232928</v>
      </c>
      <c r="E25" s="65">
        <f>E26+E30+E33+E37+E41+E44+E46</f>
        <v>4486051128.04</v>
      </c>
      <c r="F25" s="65">
        <f>+B25+D25</f>
        <v>14557438899.549999</v>
      </c>
      <c r="G25" s="71">
        <f t="shared" si="1"/>
        <v>11552511947.540001</v>
      </c>
      <c r="I25" s="86">
        <f>G25/F25</f>
        <v>0.7935813454039029</v>
      </c>
    </row>
    <row r="26" spans="1:9" ht="14.25" thickBot="1">
      <c r="A26" s="32" t="s">
        <v>81</v>
      </c>
      <c r="B26" s="57">
        <f>SUM(B27:B29)</f>
        <v>1188122148.5599999</v>
      </c>
      <c r="C26" s="57">
        <f>SUM(C27:C29)</f>
        <v>1093539235</v>
      </c>
      <c r="D26" s="57">
        <f>SUM(D27:D28)</f>
        <v>500000000</v>
      </c>
      <c r="E26" s="57">
        <f>SUM(E27:E28)</f>
        <v>430000000</v>
      </c>
      <c r="F26" s="72">
        <f>+B26+D26</f>
        <v>1688122148.5599999</v>
      </c>
      <c r="G26" s="73">
        <f t="shared" si="1"/>
        <v>1523539235</v>
      </c>
    </row>
    <row r="27" spans="1:9" ht="26.25" thickBot="1">
      <c r="A27" s="84" t="s">
        <v>82</v>
      </c>
      <c r="B27" s="197">
        <f>263130980+92262401+7573921</f>
        <v>362967302</v>
      </c>
      <c r="C27" s="198">
        <v>307389585</v>
      </c>
      <c r="D27" s="52">
        <v>500000000</v>
      </c>
      <c r="E27" s="52">
        <v>430000000</v>
      </c>
      <c r="F27" s="69">
        <f t="shared" si="0"/>
        <v>862967302</v>
      </c>
      <c r="G27" s="74">
        <f t="shared" si="1"/>
        <v>737389585</v>
      </c>
      <c r="I27" s="136">
        <v>2644285087.5</v>
      </c>
    </row>
    <row r="28" spans="1:9" ht="14.25" customHeight="1" thickBot="1">
      <c r="A28" s="85" t="s">
        <v>83</v>
      </c>
      <c r="B28" s="49">
        <f>277825339+165180000+302033680.56+44260152</f>
        <v>789299171.55999994</v>
      </c>
      <c r="C28" s="52">
        <v>756546695</v>
      </c>
      <c r="D28" s="52">
        <v>0</v>
      </c>
      <c r="E28" s="52">
        <v>0</v>
      </c>
      <c r="F28" s="69">
        <f t="shared" si="0"/>
        <v>789299171.55999994</v>
      </c>
      <c r="G28" s="74">
        <f t="shared" si="1"/>
        <v>756546695</v>
      </c>
    </row>
    <row r="29" spans="1:9" ht="14.25" customHeight="1" thickBot="1">
      <c r="A29" s="121" t="s">
        <v>84</v>
      </c>
      <c r="B29" s="49">
        <f>189659190-165180000+10666349+710136</f>
        <v>35855675</v>
      </c>
      <c r="C29" s="52">
        <v>29602955</v>
      </c>
      <c r="D29" s="52"/>
      <c r="E29" s="52"/>
      <c r="F29" s="69">
        <f>B29+D29</f>
        <v>35855675</v>
      </c>
      <c r="G29" s="74">
        <f>C29+E29</f>
        <v>29602955</v>
      </c>
    </row>
    <row r="30" spans="1:9" ht="14.25" thickBot="1">
      <c r="A30" s="11" t="s">
        <v>85</v>
      </c>
      <c r="B30" s="56">
        <f>SUM(B31:B32)</f>
        <v>3445731605.5</v>
      </c>
      <c r="C30" s="57">
        <f>SUM(C31:C32)</f>
        <v>1597746874</v>
      </c>
      <c r="D30" s="57">
        <f>SUM(D31:D32)</f>
        <v>0</v>
      </c>
      <c r="E30" s="57">
        <f>SUM(E31:E32)</f>
        <v>0</v>
      </c>
      <c r="F30" s="75">
        <f>+B30+D30</f>
        <v>3445731605.5</v>
      </c>
      <c r="G30" s="76">
        <f t="shared" si="1"/>
        <v>1597746874</v>
      </c>
      <c r="I30" s="149"/>
    </row>
    <row r="31" spans="1:9" ht="26.25" thickBot="1">
      <c r="A31" s="85" t="s">
        <v>86</v>
      </c>
      <c r="B31" s="49">
        <f>248436622+429068456.5+28870636</f>
        <v>706375714.5</v>
      </c>
      <c r="C31" s="52">
        <v>655056132</v>
      </c>
      <c r="D31" s="52">
        <v>0</v>
      </c>
      <c r="E31" s="52">
        <v>0</v>
      </c>
      <c r="F31" s="69">
        <f t="shared" si="0"/>
        <v>706375714.5</v>
      </c>
      <c r="G31" s="74">
        <f t="shared" si="1"/>
        <v>655056132</v>
      </c>
    </row>
    <row r="32" spans="1:9" ht="14.25" thickBot="1">
      <c r="A32" s="85" t="s">
        <v>87</v>
      </c>
      <c r="B32" s="49">
        <f>514458000+2197897891+27000000</f>
        <v>2739355891</v>
      </c>
      <c r="C32" s="52">
        <v>942690742</v>
      </c>
      <c r="D32" s="52">
        <v>0</v>
      </c>
      <c r="E32" s="52">
        <v>0</v>
      </c>
      <c r="F32" s="69">
        <f t="shared" si="0"/>
        <v>2739355891</v>
      </c>
      <c r="G32" s="74">
        <f t="shared" si="1"/>
        <v>942690742</v>
      </c>
      <c r="I32" s="150"/>
    </row>
    <row r="33" spans="1:9" ht="24" thickBot="1">
      <c r="A33" s="55" t="s">
        <v>88</v>
      </c>
      <c r="B33" s="66">
        <f>SUM(B34:B36)</f>
        <v>2260641459.5</v>
      </c>
      <c r="C33" s="57">
        <f>SUM(C34:C36)</f>
        <v>2063865280</v>
      </c>
      <c r="D33" s="52">
        <f>SUM(D34:D35)</f>
        <v>2217938064</v>
      </c>
      <c r="E33" s="52">
        <f>SUM(E34:E35)</f>
        <v>2129438064</v>
      </c>
      <c r="F33" s="75">
        <f t="shared" si="0"/>
        <v>4478579523.5</v>
      </c>
      <c r="G33" s="76">
        <f t="shared" si="1"/>
        <v>4193303344</v>
      </c>
      <c r="I33" s="137"/>
    </row>
    <row r="34" spans="1:9" ht="14.25" thickBot="1">
      <c r="A34" s="54" t="s">
        <v>89</v>
      </c>
      <c r="B34" s="67">
        <f>277825339+975507518.5+116884888</f>
        <v>1370217745.5</v>
      </c>
      <c r="C34" s="52">
        <v>1196853987</v>
      </c>
      <c r="D34" s="52">
        <f>325130000+488500000+1039508064</f>
        <v>1853138064</v>
      </c>
      <c r="E34" s="52">
        <f>325130000+400000000+1039508064</f>
        <v>1764638064</v>
      </c>
      <c r="F34" s="69">
        <f t="shared" si="0"/>
        <v>3223355809.5</v>
      </c>
      <c r="G34" s="74">
        <f t="shared" si="1"/>
        <v>2961492051</v>
      </c>
      <c r="I34" s="145"/>
    </row>
    <row r="35" spans="1:9" ht="14.25" thickBot="1">
      <c r="A35" s="54" t="s">
        <v>90</v>
      </c>
      <c r="B35" s="67">
        <f>263130980+185262448+39778156</f>
        <v>488171584</v>
      </c>
      <c r="C35" s="52">
        <v>471298090</v>
      </c>
      <c r="D35" s="52">
        <f>172400000+192400000</f>
        <v>364800000</v>
      </c>
      <c r="E35" s="52">
        <f>172400000+192400000</f>
        <v>364800000</v>
      </c>
      <c r="F35" s="69">
        <f t="shared" si="0"/>
        <v>852971584</v>
      </c>
      <c r="G35" s="74">
        <f t="shared" si="1"/>
        <v>836098090</v>
      </c>
      <c r="I35" s="136">
        <f>308542633-B42</f>
        <v>0</v>
      </c>
    </row>
    <row r="36" spans="1:9" ht="14.25" thickBot="1">
      <c r="A36" s="54" t="s">
        <v>91</v>
      </c>
      <c r="B36" s="67">
        <f>248436622+110782810+43032698</f>
        <v>402252130</v>
      </c>
      <c r="C36" s="52">
        <v>395713203</v>
      </c>
      <c r="D36" s="52"/>
      <c r="E36" s="52"/>
      <c r="F36" s="69">
        <f>B36</f>
        <v>402252130</v>
      </c>
      <c r="G36" s="74">
        <f>C36</f>
        <v>395713203</v>
      </c>
      <c r="I36" s="137"/>
    </row>
    <row r="37" spans="1:9" ht="14.25" thickBot="1">
      <c r="A37" s="55" t="s">
        <v>92</v>
      </c>
      <c r="B37" s="66">
        <f>SUM(B38:B40)</f>
        <v>1503167043.9400001</v>
      </c>
      <c r="C37" s="57">
        <f>SUM(C38:C40)</f>
        <v>1124621423</v>
      </c>
      <c r="D37" s="57">
        <f>SUM(D38:D39)</f>
        <v>0</v>
      </c>
      <c r="E37" s="57">
        <f>SUM(E38:E39)</f>
        <v>0</v>
      </c>
      <c r="F37" s="75">
        <f t="shared" si="0"/>
        <v>1503167043.9400001</v>
      </c>
      <c r="G37" s="76">
        <f>+C37+E37</f>
        <v>1124621423</v>
      </c>
    </row>
    <row r="38" spans="1:9" ht="13.5">
      <c r="A38" s="101" t="s">
        <v>93</v>
      </c>
      <c r="B38" s="67">
        <f>263130982+146570777.94+64664000</f>
        <v>474365759.94</v>
      </c>
      <c r="C38" s="58">
        <v>282809487</v>
      </c>
      <c r="D38" s="58">
        <v>0</v>
      </c>
      <c r="E38" s="58">
        <v>0</v>
      </c>
      <c r="F38" s="68">
        <f t="shared" si="0"/>
        <v>474365759.94</v>
      </c>
      <c r="G38" s="102">
        <f t="shared" si="1"/>
        <v>282809487</v>
      </c>
      <c r="I38" s="145">
        <f>472867811.55-B45</f>
        <v>0</v>
      </c>
    </row>
    <row r="39" spans="1:9" ht="13.5">
      <c r="A39" s="61" t="s">
        <v>94</v>
      </c>
      <c r="B39" s="89">
        <f>219047906+408000000</f>
        <v>627047906</v>
      </c>
      <c r="C39" s="89">
        <v>600467925</v>
      </c>
      <c r="D39" s="49">
        <v>0</v>
      </c>
      <c r="E39" s="49">
        <v>0</v>
      </c>
      <c r="F39" s="69">
        <f t="shared" si="0"/>
        <v>627047906</v>
      </c>
      <c r="G39" s="69">
        <f t="shared" si="1"/>
        <v>600467925</v>
      </c>
    </row>
    <row r="40" spans="1:9" ht="13.5">
      <c r="A40" s="122" t="s">
        <v>95</v>
      </c>
      <c r="B40" s="123">
        <f>219047906+172705472+10000000</f>
        <v>401753378</v>
      </c>
      <c r="C40" s="124">
        <v>241344011</v>
      </c>
      <c r="D40" s="125"/>
      <c r="E40" s="125"/>
      <c r="F40" s="126">
        <f>B40</f>
        <v>401753378</v>
      </c>
      <c r="G40" s="127">
        <f>C40</f>
        <v>241344011</v>
      </c>
      <c r="I40" s="155"/>
    </row>
    <row r="41" spans="1:9" ht="14.25" thickBot="1">
      <c r="A41" s="103" t="s">
        <v>96</v>
      </c>
      <c r="B41" s="104">
        <f>SUM(B42:B43)</f>
        <v>890675902.5</v>
      </c>
      <c r="C41" s="105">
        <f>SUM(C42:C43)</f>
        <v>863761311.5</v>
      </c>
      <c r="D41" s="105">
        <f>SUM(D42:D43)</f>
        <v>1316185800</v>
      </c>
      <c r="E41" s="105">
        <f>SUM(E42:E43)</f>
        <v>1166185800</v>
      </c>
      <c r="F41" s="106">
        <f t="shared" si="0"/>
        <v>2206861702.5</v>
      </c>
      <c r="G41" s="107">
        <f>+C41+E41</f>
        <v>2029947111.5</v>
      </c>
    </row>
    <row r="42" spans="1:9" ht="14.25" thickBot="1">
      <c r="A42" s="54" t="s">
        <v>97</v>
      </c>
      <c r="B42" s="67">
        <f>219047906+65138979+24355748</f>
        <v>308542633</v>
      </c>
      <c r="C42" s="52">
        <v>295777665</v>
      </c>
      <c r="D42" s="52">
        <v>1316185800</v>
      </c>
      <c r="E42" s="52">
        <v>1166185800</v>
      </c>
      <c r="F42" s="69">
        <f t="shared" si="0"/>
        <v>1624728433</v>
      </c>
      <c r="G42" s="74">
        <f t="shared" si="1"/>
        <v>1461963465</v>
      </c>
    </row>
    <row r="43" spans="1:9" ht="14.25" thickBot="1">
      <c r="A43" s="61" t="s">
        <v>98</v>
      </c>
      <c r="B43" s="91">
        <f>219047906+312463523.5+50621840</f>
        <v>582133269.5</v>
      </c>
      <c r="C43" s="90">
        <v>567983646.5</v>
      </c>
      <c r="D43" s="52">
        <v>0</v>
      </c>
      <c r="E43" s="52">
        <v>0</v>
      </c>
      <c r="F43" s="69">
        <f t="shared" si="0"/>
        <v>582133269.5</v>
      </c>
      <c r="G43" s="74">
        <f t="shared" si="1"/>
        <v>567983646.5</v>
      </c>
    </row>
    <row r="44" spans="1:9" ht="14.25" thickBot="1">
      <c r="A44" s="55" t="s">
        <v>99</v>
      </c>
      <c r="B44" s="66">
        <f>SUM(B45:B45)</f>
        <v>472867811.55000001</v>
      </c>
      <c r="C44" s="57">
        <f>SUM(C45:C45)</f>
        <v>322926696</v>
      </c>
      <c r="D44" s="57"/>
      <c r="E44" s="57"/>
      <c r="F44" s="69">
        <f t="shared" si="0"/>
        <v>472867811.55000001</v>
      </c>
      <c r="G44" s="74">
        <f t="shared" si="1"/>
        <v>322926696</v>
      </c>
    </row>
    <row r="45" spans="1:9" ht="25.5">
      <c r="A45" s="61" t="s">
        <v>100</v>
      </c>
      <c r="B45" s="89">
        <f>233732322+261135489.5-21999999.95</f>
        <v>472867811.55000001</v>
      </c>
      <c r="C45" s="90">
        <v>322926696</v>
      </c>
      <c r="D45" s="52">
        <v>0</v>
      </c>
      <c r="E45" s="52">
        <v>0</v>
      </c>
      <c r="F45" s="69">
        <f t="shared" si="0"/>
        <v>472867811.55000001</v>
      </c>
      <c r="G45" s="74">
        <f t="shared" si="1"/>
        <v>322926696</v>
      </c>
    </row>
    <row r="46" spans="1:9" ht="25.5">
      <c r="A46" s="153" t="s">
        <v>143</v>
      </c>
      <c r="B46" s="89"/>
      <c r="C46" s="89"/>
      <c r="D46" s="154">
        <v>762109064</v>
      </c>
      <c r="E46" s="156">
        <v>760427264.03999996</v>
      </c>
      <c r="F46" s="75">
        <f>D46</f>
        <v>762109064</v>
      </c>
      <c r="G46" s="74"/>
    </row>
    <row r="47" spans="1:9" ht="14.25" thickBot="1">
      <c r="A47" s="59" t="s">
        <v>57</v>
      </c>
      <c r="B47" s="70">
        <v>0</v>
      </c>
      <c r="C47" s="70">
        <v>0</v>
      </c>
      <c r="D47" s="60">
        <v>0</v>
      </c>
      <c r="E47" s="41">
        <v>0</v>
      </c>
      <c r="F47" s="77">
        <f t="shared" si="0"/>
        <v>0</v>
      </c>
      <c r="G47" s="74">
        <f t="shared" si="1"/>
        <v>0</v>
      </c>
    </row>
    <row r="48" spans="1:9" ht="14.25" thickBot="1">
      <c r="A48" s="31"/>
      <c r="B48" s="45"/>
      <c r="C48" s="45"/>
      <c r="D48" s="45"/>
      <c r="E48" s="45"/>
      <c r="F48" s="78"/>
      <c r="G48" s="74">
        <f t="shared" si="1"/>
        <v>0</v>
      </c>
    </row>
    <row r="49" spans="1:9" ht="13.5" thickBot="1">
      <c r="A49" s="6" t="s">
        <v>58</v>
      </c>
      <c r="B49" s="33">
        <f>B23+B25</f>
        <v>15487984576.43</v>
      </c>
      <c r="C49" s="33">
        <f>C23+C25</f>
        <v>12119180701.870001</v>
      </c>
      <c r="D49" s="33">
        <f>D23+D25</f>
        <v>7836972740</v>
      </c>
      <c r="E49" s="33">
        <f>E23+E25</f>
        <v>7523951178.04</v>
      </c>
      <c r="F49" s="33">
        <f>F23+F25</f>
        <v>23324957316.43</v>
      </c>
      <c r="G49" s="42">
        <f>+C49+E49</f>
        <v>19643131879.91</v>
      </c>
      <c r="I49" s="87">
        <f>G49/F49</f>
        <v>0.84215081783122758</v>
      </c>
    </row>
    <row r="50" spans="1:9" ht="27.75" customHeight="1">
      <c r="A50" s="245"/>
      <c r="B50" s="246"/>
      <c r="C50" s="246"/>
      <c r="D50" s="246"/>
      <c r="E50" s="246"/>
      <c r="F50" s="246"/>
      <c r="G50" s="246"/>
    </row>
    <row r="51" spans="1:9" ht="32.25" customHeight="1">
      <c r="A51" s="231"/>
      <c r="B51" s="231"/>
      <c r="C51" s="231"/>
      <c r="D51" s="231"/>
      <c r="E51" s="231"/>
      <c r="F51" s="231"/>
      <c r="G51" s="231"/>
    </row>
    <row r="52" spans="1:9">
      <c r="A52" s="2"/>
      <c r="B52" s="2"/>
      <c r="C52" s="2"/>
      <c r="D52" s="138"/>
      <c r="E52" s="2"/>
      <c r="F52" s="2"/>
      <c r="G52" s="2"/>
    </row>
    <row r="53" spans="1:9">
      <c r="A53" s="2"/>
      <c r="B53" s="2"/>
      <c r="C53" s="139"/>
      <c r="D53" s="2"/>
      <c r="E53" s="139"/>
      <c r="G53" s="2"/>
    </row>
    <row r="54" spans="1:9">
      <c r="A54" s="2"/>
      <c r="B54" s="2"/>
      <c r="C54" s="2"/>
      <c r="D54" s="2"/>
      <c r="E54" s="2"/>
      <c r="F54" s="2"/>
      <c r="G54" s="2"/>
    </row>
    <row r="56" spans="1:9">
      <c r="E56" s="81"/>
    </row>
  </sheetData>
  <mergeCells count="9">
    <mergeCell ref="A1:G1"/>
    <mergeCell ref="A51:G51"/>
    <mergeCell ref="A2:G2"/>
    <mergeCell ref="A3:G3"/>
    <mergeCell ref="B5:C5"/>
    <mergeCell ref="D5:E5"/>
    <mergeCell ref="F5:G5"/>
    <mergeCell ref="A5:A6"/>
    <mergeCell ref="A50:G50"/>
  </mergeCells>
  <phoneticPr fontId="9" type="noConversion"/>
  <hyperlinks>
    <hyperlink ref="D25" location="Hoja1!A1" display="Hoja1!A1"/>
  </hyperlinks>
  <printOptions horizontalCentered="1" verticalCentered="1"/>
  <pageMargins left="0.78740157480314965" right="0.78740157480314965" top="0.98425196850393704" bottom="0.98425196850393704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F27" sqref="F27"/>
    </sheetView>
  </sheetViews>
  <sheetFormatPr baseColWidth="10" defaultRowHeight="12.75"/>
  <cols>
    <col min="2" max="2" width="19.7109375" customWidth="1"/>
    <col min="3" max="3" width="15.140625" customWidth="1"/>
    <col min="4" max="4" width="21.140625" customWidth="1"/>
    <col min="5" max="5" width="14.5703125" customWidth="1"/>
    <col min="6" max="6" width="13.85546875" bestFit="1" customWidth="1"/>
  </cols>
  <sheetData>
    <row r="3" spans="1:6">
      <c r="B3" t="s">
        <v>102</v>
      </c>
      <c r="C3" t="s">
        <v>101</v>
      </c>
      <c r="D3" t="s">
        <v>103</v>
      </c>
      <c r="E3" t="s">
        <v>101</v>
      </c>
    </row>
    <row r="4" spans="1:6">
      <c r="A4" s="114" t="s">
        <v>37</v>
      </c>
      <c r="B4" s="131">
        <f>'Anexo 5-1 Ingresos'!I52</f>
        <v>23324957320.380001</v>
      </c>
      <c r="C4" s="115">
        <v>100</v>
      </c>
      <c r="D4" s="131">
        <f>'Anexo 5-1 Ingresos'!D67</f>
        <v>20133613906.02</v>
      </c>
      <c r="E4" s="130">
        <f>D4/B4*100</f>
        <v>86.317902448757806</v>
      </c>
    </row>
    <row r="6" spans="1:6">
      <c r="E6" t="s">
        <v>102</v>
      </c>
      <c r="F6" t="s">
        <v>103</v>
      </c>
    </row>
    <row r="7" spans="1:6">
      <c r="D7" s="120"/>
      <c r="E7" s="120">
        <f>C4</f>
        <v>100</v>
      </c>
      <c r="F7" s="130">
        <f>E4</f>
        <v>86.317902448757806</v>
      </c>
    </row>
    <row r="8" spans="1:6">
      <c r="E8" s="120"/>
      <c r="F8" s="1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10" workbookViewId="0">
      <selection activeCell="A15" sqref="A15"/>
    </sheetView>
  </sheetViews>
  <sheetFormatPr baseColWidth="10" defaultRowHeight="12.75"/>
  <cols>
    <col min="1" max="1" width="39.42578125" customWidth="1"/>
    <col min="2" max="2" width="34.5703125" customWidth="1"/>
    <col min="3" max="3" width="18" customWidth="1"/>
  </cols>
  <sheetData>
    <row r="1" spans="1:4" ht="13.5" thickBot="1">
      <c r="A1" s="250" t="s">
        <v>161</v>
      </c>
      <c r="B1" s="251"/>
      <c r="C1" s="251"/>
    </row>
    <row r="2" spans="1:4" ht="13.5" thickBot="1">
      <c r="A2" s="193" t="s">
        <v>146</v>
      </c>
      <c r="B2" s="194" t="s">
        <v>144</v>
      </c>
      <c r="C2" s="200" t="s">
        <v>145</v>
      </c>
      <c r="D2" s="252" t="s">
        <v>162</v>
      </c>
    </row>
    <row r="3" spans="1:4" ht="23.25" thickBot="1">
      <c r="A3" s="191" t="s">
        <v>81</v>
      </c>
      <c r="B3" s="192"/>
      <c r="C3" s="201">
        <f>C4</f>
        <v>500000000</v>
      </c>
      <c r="D3" s="253"/>
    </row>
    <row r="4" spans="1:4" ht="51">
      <c r="A4" s="199" t="s">
        <v>82</v>
      </c>
      <c r="B4" s="189" t="s">
        <v>147</v>
      </c>
      <c r="C4" s="190">
        <v>500000000</v>
      </c>
      <c r="D4" s="202" t="s">
        <v>163</v>
      </c>
    </row>
    <row r="5" spans="1:4" ht="22.5">
      <c r="A5" s="157" t="s">
        <v>88</v>
      </c>
      <c r="B5" s="188"/>
      <c r="C5" s="161">
        <f>C6+C7+C8+C10+C11</f>
        <v>2217938064</v>
      </c>
      <c r="D5" s="196"/>
    </row>
    <row r="6" spans="1:4" ht="51">
      <c r="A6" s="247" t="s">
        <v>89</v>
      </c>
      <c r="B6" s="187" t="s">
        <v>148</v>
      </c>
      <c r="C6" s="163">
        <v>325130000</v>
      </c>
      <c r="D6" s="195" t="s">
        <v>163</v>
      </c>
    </row>
    <row r="7" spans="1:4" ht="51">
      <c r="A7" s="248"/>
      <c r="B7" s="187" t="s">
        <v>149</v>
      </c>
      <c r="C7" s="163">
        <v>488500000</v>
      </c>
      <c r="D7" s="195" t="s">
        <v>164</v>
      </c>
    </row>
    <row r="8" spans="1:4" ht="51">
      <c r="A8" s="248"/>
      <c r="B8" s="187" t="s">
        <v>150</v>
      </c>
      <c r="C8" s="163">
        <v>1039508064</v>
      </c>
      <c r="D8" s="195" t="s">
        <v>164</v>
      </c>
    </row>
    <row r="9" spans="1:4">
      <c r="A9" s="249"/>
      <c r="B9" s="188"/>
      <c r="C9" s="169">
        <f>C10+C11</f>
        <v>364800000</v>
      </c>
      <c r="D9" s="196"/>
    </row>
    <row r="10" spans="1:4" ht="63.75">
      <c r="A10" s="247" t="s">
        <v>90</v>
      </c>
      <c r="B10" s="187" t="s">
        <v>151</v>
      </c>
      <c r="C10" s="163">
        <v>192400000</v>
      </c>
      <c r="D10" s="195" t="s">
        <v>163</v>
      </c>
    </row>
    <row r="11" spans="1:4" ht="51">
      <c r="A11" s="249"/>
      <c r="B11" s="187" t="s">
        <v>152</v>
      </c>
      <c r="C11" s="162">
        <v>172400000</v>
      </c>
      <c r="D11" s="195" t="s">
        <v>163</v>
      </c>
    </row>
    <row r="12" spans="1:4">
      <c r="A12" s="158" t="s">
        <v>96</v>
      </c>
      <c r="B12" s="188"/>
      <c r="C12" s="165">
        <f>C13</f>
        <v>1316185800</v>
      </c>
      <c r="D12" s="196"/>
    </row>
    <row r="13" spans="1:4" ht="89.25">
      <c r="A13" s="164" t="s">
        <v>97</v>
      </c>
      <c r="B13" s="187" t="s">
        <v>153</v>
      </c>
      <c r="C13" s="160">
        <v>1316185800</v>
      </c>
      <c r="D13" s="195" t="s">
        <v>164</v>
      </c>
    </row>
    <row r="14" spans="1:4" ht="22.5">
      <c r="A14" s="158" t="s">
        <v>166</v>
      </c>
      <c r="B14" s="187"/>
      <c r="C14" s="167"/>
      <c r="D14" s="195"/>
    </row>
    <row r="15" spans="1:4" ht="26.25" thickBot="1">
      <c r="A15" s="203" t="s">
        <v>167</v>
      </c>
      <c r="B15" s="187" t="s">
        <v>165</v>
      </c>
      <c r="C15" s="167">
        <v>762109064</v>
      </c>
      <c r="D15" s="195" t="s">
        <v>163</v>
      </c>
    </row>
    <row r="16" spans="1:4" ht="13.5" thickBot="1">
      <c r="C16" s="168">
        <f>C15+C12+C5+C3</f>
        <v>4796232928</v>
      </c>
    </row>
    <row r="20" spans="3:3">
      <c r="C20" s="166"/>
    </row>
  </sheetData>
  <mergeCells count="4">
    <mergeCell ref="A6:A9"/>
    <mergeCell ref="A10:A11"/>
    <mergeCell ref="A1:C1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Anexo 5-1 Ingresos</vt:lpstr>
      <vt:lpstr>Anexo 5-2 Gastos</vt:lpstr>
      <vt:lpstr>Interpretacion de Resultados</vt:lpstr>
      <vt:lpstr>Hoja1</vt:lpstr>
      <vt:lpstr>'Anexo 5-1 Ingresos'!Área_de_impresión</vt:lpstr>
      <vt:lpstr>'Anexo 5-2 Gastos'!Área_de_impresión</vt:lpstr>
      <vt:lpstr>'Anexo 5-1 Ingresos'!Títulos_a_imprimir</vt:lpstr>
      <vt:lpstr>'Anexo 5-2 Gastos'!Títulos_a_imprimir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Vargas</dc:creator>
  <cp:lastModifiedBy>Funcionario</cp:lastModifiedBy>
  <cp:lastPrinted>2012-04-17T21:26:26Z</cp:lastPrinted>
  <dcterms:created xsi:type="dcterms:W3CDTF">2004-01-28T22:51:19Z</dcterms:created>
  <dcterms:modified xsi:type="dcterms:W3CDTF">2015-02-26T22:20:52Z</dcterms:modified>
</cp:coreProperties>
</file>