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NG-YEISON COTES\Documents\PLANEACION 2013 1\Informes de Gestion  del  Director\2015\Informe de Gestion 31.12 2015\"/>
    </mc:Choice>
  </mc:AlternateContent>
  <bookViews>
    <workbookView xWindow="-15" yWindow="-15" windowWidth="10500" windowHeight="11370" tabRatio="771"/>
  </bookViews>
  <sheets>
    <sheet name="Anexo 5-1 Ingresos" sheetId="12" r:id="rId1"/>
    <sheet name="Anexo 5-2 Gastos" sheetId="13" r:id="rId2"/>
    <sheet name="Interpretacion de Resultados" sheetId="15" state="hidden" r:id="rId3"/>
    <sheet name="SGR" sheetId="18" r:id="rId4"/>
    <sheet name="Hoja2" sheetId="17" r:id="rId5"/>
  </sheets>
  <externalReferences>
    <externalReference r:id="rId6"/>
  </externalReferences>
  <definedNames>
    <definedName name="_xlnm.Print_Area" localSheetId="0">'Anexo 5-1 Ingresos'!$A$1:$D$65</definedName>
    <definedName name="_xlnm.Print_Area" localSheetId="1">'Anexo 5-2 Gastos'!$A$1:$G$51</definedName>
    <definedName name="_xlnm.Print_Titles" localSheetId="0">'Anexo 5-1 Ingresos'!$1:$6</definedName>
    <definedName name="_xlnm.Print_Titles" localSheetId="1">'Anexo 5-2 Gastos'!$1:$6</definedName>
  </definedNames>
  <calcPr calcId="152511"/>
</workbook>
</file>

<file path=xl/calcChain.xml><?xml version="1.0" encoding="utf-8"?>
<calcChain xmlns="http://schemas.openxmlformats.org/spreadsheetml/2006/main">
  <c r="E63" i="12" l="1"/>
  <c r="A68" i="12"/>
  <c r="A67" i="12"/>
  <c r="B68" i="12"/>
  <c r="B67" i="12"/>
  <c r="B31" i="13" l="1"/>
  <c r="B28" i="13"/>
  <c r="E46" i="13" l="1"/>
  <c r="G47" i="13"/>
  <c r="B39" i="13"/>
  <c r="B38" i="13"/>
  <c r="B36" i="13"/>
  <c r="B35" i="13"/>
  <c r="B34" i="13"/>
  <c r="B29" i="13"/>
  <c r="C23" i="13"/>
  <c r="C11" i="13"/>
  <c r="C13" i="13"/>
  <c r="C18" i="13"/>
  <c r="C20" i="13"/>
  <c r="B18" i="13"/>
  <c r="B20" i="13"/>
  <c r="C19" i="13"/>
  <c r="B19" i="13"/>
  <c r="C21" i="13" l="1"/>
  <c r="B13" i="13"/>
  <c r="E23" i="13" l="1"/>
  <c r="D8" i="13"/>
  <c r="E8" i="13"/>
  <c r="D56" i="12"/>
  <c r="E30" i="12" l="1"/>
  <c r="E28" i="12"/>
  <c r="E21" i="12"/>
  <c r="M59" i="13" l="1"/>
  <c r="C44" i="18"/>
  <c r="B44" i="18"/>
  <c r="C41" i="18"/>
  <c r="B41" i="18"/>
  <c r="B37" i="18"/>
  <c r="C37" i="18"/>
  <c r="B33" i="18"/>
  <c r="C33" i="18"/>
  <c r="B30" i="18"/>
  <c r="C30" i="18"/>
  <c r="C26" i="18"/>
  <c r="B26" i="18"/>
  <c r="C19" i="18"/>
  <c r="C15" i="18"/>
  <c r="B15" i="18"/>
  <c r="C12" i="18"/>
  <c r="B12" i="18"/>
  <c r="C8" i="18"/>
  <c r="B8" i="18"/>
  <c r="D51" i="12"/>
  <c r="C51" i="12"/>
  <c r="C56" i="12"/>
  <c r="B21" i="13"/>
  <c r="C25" i="18" l="1"/>
  <c r="C11" i="18"/>
  <c r="B25" i="18"/>
  <c r="C18" i="18"/>
  <c r="B19" i="18"/>
  <c r="D46" i="13"/>
  <c r="E53" i="13"/>
  <c r="B18" i="18" l="1"/>
  <c r="C23" i="18"/>
  <c r="B45" i="13"/>
  <c r="B43" i="13"/>
  <c r="B42" i="13"/>
  <c r="B40" i="13"/>
  <c r="B32" i="13"/>
  <c r="B27" i="13"/>
  <c r="C49" i="18" l="1"/>
  <c r="B11" i="18"/>
  <c r="B23" i="18" l="1"/>
  <c r="B49" i="18" l="1"/>
  <c r="D21" i="17" l="1"/>
  <c r="B21" i="17"/>
  <c r="B37" i="13" l="1"/>
  <c r="B8" i="13" l="1"/>
  <c r="C47" i="12" l="1"/>
  <c r="D45" i="12"/>
  <c r="D33" i="12" l="1"/>
  <c r="D31" i="12"/>
  <c r="C31" i="12"/>
  <c r="C33" i="12"/>
  <c r="C45" i="12" l="1"/>
  <c r="E32" i="12"/>
  <c r="E29" i="12"/>
  <c r="C12" i="13" l="1"/>
  <c r="B12" i="13"/>
  <c r="C41" i="13"/>
  <c r="D23" i="12"/>
  <c r="C23" i="12"/>
  <c r="C8" i="13" l="1"/>
  <c r="D13" i="12"/>
  <c r="C13" i="12"/>
  <c r="D8" i="12"/>
  <c r="C8" i="12"/>
  <c r="B18" i="17" s="1"/>
  <c r="D19" i="12"/>
  <c r="D12" i="12" s="1"/>
  <c r="K49" i="12"/>
  <c r="C19" i="12"/>
  <c r="C12" i="12" s="1"/>
  <c r="I49" i="12"/>
  <c r="E18" i="12" l="1"/>
  <c r="B19" i="17"/>
  <c r="B17" i="17" s="1"/>
  <c r="F24" i="12"/>
  <c r="D19" i="17"/>
  <c r="K46" i="12"/>
  <c r="D18" i="17"/>
  <c r="E7" i="15"/>
  <c r="C26" i="13"/>
  <c r="B30" i="13"/>
  <c r="B26" i="13"/>
  <c r="B41" i="13"/>
  <c r="C37" i="13"/>
  <c r="C33" i="13"/>
  <c r="B33" i="13"/>
  <c r="D17" i="17" l="1"/>
  <c r="E26" i="12"/>
  <c r="E24" i="12"/>
  <c r="B44" i="13"/>
  <c r="D41" i="12"/>
  <c r="G14" i="13"/>
  <c r="G20" i="13"/>
  <c r="D38" i="12"/>
  <c r="D37" i="12" s="1"/>
  <c r="D20" i="17" s="1"/>
  <c r="C30" i="13"/>
  <c r="C44" i="13"/>
  <c r="G44" i="13" s="1"/>
  <c r="G48" i="13"/>
  <c r="E41" i="13"/>
  <c r="G41" i="13" s="1"/>
  <c r="G42" i="13"/>
  <c r="G43" i="13"/>
  <c r="G45" i="13"/>
  <c r="G46" i="13"/>
  <c r="G34" i="13"/>
  <c r="G35" i="13"/>
  <c r="G38" i="13"/>
  <c r="G39" i="13"/>
  <c r="C15" i="13"/>
  <c r="D19" i="13"/>
  <c r="D18" i="13" s="1"/>
  <c r="F18" i="13" s="1"/>
  <c r="D15" i="13"/>
  <c r="D12" i="13"/>
  <c r="E19" i="13"/>
  <c r="E18" i="13" s="1"/>
  <c r="E15" i="13"/>
  <c r="E12" i="13"/>
  <c r="B15" i="13"/>
  <c r="B11" i="13" s="1"/>
  <c r="D41" i="13"/>
  <c r="D37" i="13"/>
  <c r="F37" i="13" s="1"/>
  <c r="D33" i="13"/>
  <c r="D30" i="13"/>
  <c r="E37" i="13"/>
  <c r="G37" i="13" s="1"/>
  <c r="E33" i="13"/>
  <c r="E30" i="13"/>
  <c r="F35" i="13"/>
  <c r="F38" i="13"/>
  <c r="F39" i="13"/>
  <c r="F42" i="13"/>
  <c r="F43" i="13"/>
  <c r="D26" i="13"/>
  <c r="E26" i="13"/>
  <c r="E25" i="13" s="1"/>
  <c r="G32" i="13"/>
  <c r="G31" i="13"/>
  <c r="G28" i="13"/>
  <c r="G27" i="13"/>
  <c r="G22" i="13"/>
  <c r="G17" i="13"/>
  <c r="G16" i="13"/>
  <c r="G13" i="13"/>
  <c r="G21" i="13"/>
  <c r="G10" i="13"/>
  <c r="G9" i="13"/>
  <c r="G7" i="13"/>
  <c r="F46" i="13"/>
  <c r="F32" i="13"/>
  <c r="F31" i="13"/>
  <c r="F22" i="13"/>
  <c r="F20" i="13"/>
  <c r="F17" i="13"/>
  <c r="F16" i="13"/>
  <c r="F14" i="13"/>
  <c r="F13" i="13"/>
  <c r="F21" i="13"/>
  <c r="F10" i="13"/>
  <c r="F7" i="13"/>
  <c r="C41" i="12"/>
  <c r="C38" i="12"/>
  <c r="C37" i="12" s="1"/>
  <c r="F27" i="13"/>
  <c r="F34" i="13"/>
  <c r="D16" i="17" l="1"/>
  <c r="D22" i="17" s="1"/>
  <c r="E21" i="17" s="1"/>
  <c r="D25" i="13"/>
  <c r="C25" i="13"/>
  <c r="B23" i="13"/>
  <c r="J32" i="13" s="1"/>
  <c r="F15" i="13"/>
  <c r="E46" i="12"/>
  <c r="B20" i="17"/>
  <c r="B16" i="17" s="1"/>
  <c r="B25" i="13"/>
  <c r="I48" i="12"/>
  <c r="K48" i="12"/>
  <c r="I35" i="13"/>
  <c r="E11" i="13"/>
  <c r="D11" i="13"/>
  <c r="D23" i="13" s="1"/>
  <c r="G15" i="13"/>
  <c r="G23" i="13"/>
  <c r="C7" i="12"/>
  <c r="I47" i="12"/>
  <c r="G19" i="13"/>
  <c r="F44" i="13"/>
  <c r="G30" i="13"/>
  <c r="G18" i="13"/>
  <c r="F19" i="13"/>
  <c r="F12" i="13"/>
  <c r="F41" i="13"/>
  <c r="E8" i="12"/>
  <c r="G33" i="13"/>
  <c r="G26" i="13"/>
  <c r="E56" i="12"/>
  <c r="F33" i="13"/>
  <c r="F30" i="13"/>
  <c r="G12" i="13"/>
  <c r="G8" i="13"/>
  <c r="F8" i="13"/>
  <c r="F26" i="13"/>
  <c r="E49" i="13"/>
  <c r="F9" i="13"/>
  <c r="F28" i="13"/>
  <c r="F45" i="13"/>
  <c r="F25" i="13" l="1"/>
  <c r="K7" i="13" s="1"/>
  <c r="L59" i="13" s="1"/>
  <c r="D49" i="13"/>
  <c r="B22" i="17"/>
  <c r="C21" i="17" s="1"/>
  <c r="F11" i="13"/>
  <c r="E16" i="17"/>
  <c r="C6" i="12"/>
  <c r="G11" i="13"/>
  <c r="F23" i="13"/>
  <c r="E37" i="12"/>
  <c r="D7" i="12"/>
  <c r="K47" i="12"/>
  <c r="I45" i="12"/>
  <c r="J47" i="12" s="1"/>
  <c r="G25" i="13"/>
  <c r="L7" i="13" s="1"/>
  <c r="B49" i="13"/>
  <c r="L6" i="13"/>
  <c r="E12" i="12"/>
  <c r="C16" i="17" l="1"/>
  <c r="I25" i="13"/>
  <c r="K42" i="13"/>
  <c r="K6" i="13"/>
  <c r="M6" i="13" s="1"/>
  <c r="F49" i="13"/>
  <c r="K8" i="13" s="1"/>
  <c r="M7" i="13"/>
  <c r="K45" i="12"/>
  <c r="D6" i="12"/>
  <c r="D63" i="12" s="1"/>
  <c r="I44" i="12"/>
  <c r="J45" i="12" s="1"/>
  <c r="C63" i="12"/>
  <c r="J46" i="12"/>
  <c r="C49" i="13"/>
  <c r="E7" i="12"/>
  <c r="L46" i="12" l="1"/>
  <c r="L47" i="12"/>
  <c r="I50" i="12"/>
  <c r="B4" i="15" s="1"/>
  <c r="G49" i="13"/>
  <c r="L8" i="13" s="1"/>
  <c r="M8" i="13" s="1"/>
  <c r="K44" i="12"/>
  <c r="L48" i="12" s="1"/>
  <c r="J48" i="12"/>
  <c r="E6" i="12"/>
  <c r="I23" i="13"/>
  <c r="J49" i="12" l="1"/>
  <c r="J44" i="12"/>
  <c r="H4" i="12"/>
  <c r="L45" i="12"/>
  <c r="J56" i="12" s="1"/>
  <c r="I49" i="13"/>
  <c r="K50" i="12"/>
  <c r="D4" i="15"/>
  <c r="E4" i="15" s="1"/>
  <c r="F7" i="15" s="1"/>
  <c r="I4" i="12"/>
  <c r="J50" i="12" l="1"/>
  <c r="L50" i="12"/>
  <c r="L44" i="12"/>
  <c r="I55" i="12" s="1"/>
  <c r="L49" i="12"/>
  <c r="I58" i="12" s="1"/>
  <c r="I59" i="12" l="1"/>
</calcChain>
</file>

<file path=xl/sharedStrings.xml><?xml version="1.0" encoding="utf-8"?>
<sst xmlns="http://schemas.openxmlformats.org/spreadsheetml/2006/main" count="245" uniqueCount="161">
  <si>
    <t>PRESUPUESTADO</t>
  </si>
  <si>
    <t xml:space="preserve">INFORME DE EJECUCION PRESUPUESTAL DE GASTOS </t>
  </si>
  <si>
    <t>NIVEL RENTISTICO</t>
  </si>
  <si>
    <t>INGRESOS PROPIOS</t>
  </si>
  <si>
    <t>INGRESOS CORRIENTES</t>
  </si>
  <si>
    <t>Tributarios</t>
  </si>
  <si>
    <t>Participación Ambiental Municipios</t>
  </si>
  <si>
    <t>Otros</t>
  </si>
  <si>
    <t>No Tributarios</t>
  </si>
  <si>
    <t>Venta de Bienes y Servicios</t>
  </si>
  <si>
    <t>Licencias, permisos y tramites ambientales</t>
  </si>
  <si>
    <t>Operaciones Comerciales</t>
  </si>
  <si>
    <t>Aportes Patronales</t>
  </si>
  <si>
    <t>Aportes de Afiliados</t>
  </si>
  <si>
    <t>Aportes de otras entidades</t>
  </si>
  <si>
    <t>Transferencias Sector Electrico</t>
  </si>
  <si>
    <t>Otros Aportes de Otras Entidades</t>
  </si>
  <si>
    <t>Otros Ingresos</t>
  </si>
  <si>
    <t>Tasa Material de Arrastre</t>
  </si>
  <si>
    <t>Tasa por Uso del Agua</t>
  </si>
  <si>
    <t>RECURSOS DE CAPITAL</t>
  </si>
  <si>
    <t>Crédito externo</t>
  </si>
  <si>
    <t>Perfeccionado</t>
  </si>
  <si>
    <t>Autorizado</t>
  </si>
  <si>
    <t>Crédito Interno</t>
  </si>
  <si>
    <t>Rendimientos Financieros</t>
  </si>
  <si>
    <t>Recursos del Balance</t>
  </si>
  <si>
    <t>Venta de Activos</t>
  </si>
  <si>
    <t>Excedentes Financieros</t>
  </si>
  <si>
    <t>Cancelación de Reservas</t>
  </si>
  <si>
    <t>Recuperación de Cartera</t>
  </si>
  <si>
    <t>Otros Recursos del Balance</t>
  </si>
  <si>
    <t>Donaciones</t>
  </si>
  <si>
    <t>APORTES DE LA NACION</t>
  </si>
  <si>
    <t>Funcionamiento</t>
  </si>
  <si>
    <t>TOTAL INGRESOS VIGENCIA</t>
  </si>
  <si>
    <t>CONCEPTO</t>
  </si>
  <si>
    <t>RECURSOS PROPIOS
$</t>
  </si>
  <si>
    <t>RECURSOS DE LA NACION 
$</t>
  </si>
  <si>
    <t>TOTAL RECURSOS 
(PROPIOS -NACION)
$</t>
  </si>
  <si>
    <t>GASTOS DE PERSONAL</t>
  </si>
  <si>
    <t>GASTOS GENERALES</t>
  </si>
  <si>
    <t>Impuestos y Multas</t>
  </si>
  <si>
    <t>TRANSFERENCIAS CORRIENTES</t>
  </si>
  <si>
    <t>ADMINISTRACION PUBLICA CENTRAL</t>
  </si>
  <si>
    <t>Cuota de Auditaje Contaloria Nacional</t>
  </si>
  <si>
    <t>Fondo de Compensación Ambiental</t>
  </si>
  <si>
    <t xml:space="preserve">TRANSFERENCIAS PREVISION Y SEGURIDAD SOCIAL </t>
  </si>
  <si>
    <t>Mesadas Pensionales</t>
  </si>
  <si>
    <t>Bonos pensionales</t>
  </si>
  <si>
    <t>OTRAS TRANSFERENCIAS</t>
  </si>
  <si>
    <t>SENTENCIAS Y CONCILIACIONES</t>
  </si>
  <si>
    <t>Sentencias y Conciliaciones</t>
  </si>
  <si>
    <t>TOTAL GASTOS DE FUNCIONAMIENTO</t>
  </si>
  <si>
    <t>TOTAL INVERSION</t>
  </si>
  <si>
    <t xml:space="preserve">TOTAL PRESUPUESTO  </t>
  </si>
  <si>
    <t>ANEXO 5-2</t>
  </si>
  <si>
    <t>ANEXO 5-1</t>
  </si>
  <si>
    <t xml:space="preserve">INFORME DE EJECUCION PRESUPUESTAL DE INGRESOS </t>
  </si>
  <si>
    <t>Adquisición de Bienes y servicios</t>
  </si>
  <si>
    <t>Sobretasa o Porcentaje Ambiental</t>
  </si>
  <si>
    <t>APROPIADO</t>
  </si>
  <si>
    <t>RECAUDADO</t>
  </si>
  <si>
    <t>COMPROMETIDO</t>
  </si>
  <si>
    <t>Movilización ilegal de Madera</t>
  </si>
  <si>
    <t>Multas y sanciones por infracciones ambientales</t>
  </si>
  <si>
    <t xml:space="preserve">Otros por Venta de Bienes y Servicios </t>
  </si>
  <si>
    <t>Evaluación y Seguimiento</t>
  </si>
  <si>
    <t>Convenios con Otras Entidades</t>
  </si>
  <si>
    <t>CORPORACION AUTONOMA REGIONAL DE LA GUAJIRA</t>
  </si>
  <si>
    <t>Indemnizaciones</t>
  </si>
  <si>
    <t>Tasa Retributiva y Compensatoria</t>
  </si>
  <si>
    <t>OTRAS (ASOCARS)</t>
  </si>
  <si>
    <t xml:space="preserve">TOTAL PRESUPUESTO </t>
  </si>
  <si>
    <t>TOTAL GASTOS DE FUNCI.</t>
  </si>
  <si>
    <t>TOTAL GASTOS DE INVER.</t>
  </si>
  <si>
    <t xml:space="preserve">APROPIADO </t>
  </si>
  <si>
    <t xml:space="preserve">RECAUDADO </t>
  </si>
  <si>
    <t>Programa 1. Ordenamiento Ambiental Territorial</t>
  </si>
  <si>
    <t>Proyecto 1.1. Planificación, Ordenamiento e Información Ambiental Territorial</t>
  </si>
  <si>
    <t>Proyecto 1.2. Gestión del Riesgo y adaptación al Cambio Climático.</t>
  </si>
  <si>
    <t>Proyecto 1.3. Gestión del conocimiento y Cooperación Internacional.</t>
  </si>
  <si>
    <t>Programa 2. Gestión Integral del Recurso Hídrico</t>
  </si>
  <si>
    <t>Proyecto 2.1.Administración de la oferta y demanda del recurso hídrico. (Superficiales y subterráneas).</t>
  </si>
  <si>
    <t>Proyecto 2.2. .  Monitoreo de la calidad del recurso hídrico.</t>
  </si>
  <si>
    <t>Programa 3. Bosques, Biodiversidad y Servicios Ecosistémicos.</t>
  </si>
  <si>
    <t>Proyecto 3.1. Ecosistemas estratégicos continentales y marinos</t>
  </si>
  <si>
    <t>Proyecto 3.2. Protección y conservación de la biodiversidad.</t>
  </si>
  <si>
    <t>Proyecto 3.3.Negocios verdes y sostenibles.</t>
  </si>
  <si>
    <t>Progrma 4. Gestión Ambiental Sectorial y Urbana</t>
  </si>
  <si>
    <t>Proyecto 4.1. Gestión Ambiental Urbana</t>
  </si>
  <si>
    <t>Proyecto 4.2. Gestión Ambiental Sectorial</t>
  </si>
  <si>
    <t>Proyecto 4.3. Calidad del aire</t>
  </si>
  <si>
    <t>Programa 5. Educación Ambiental</t>
  </si>
  <si>
    <t>Proyecto 5.1. Cultura Ambiental</t>
  </si>
  <si>
    <t>Proyecto 5.2.Participación Comunitaria</t>
  </si>
  <si>
    <t>Programa 6. Calidad Ambiental</t>
  </si>
  <si>
    <t>Proyecto 6.1. Monitoreo y evaluación de la calidad de los recursos naturales y la biodiversidad.</t>
  </si>
  <si>
    <t>%</t>
  </si>
  <si>
    <t xml:space="preserve">Apropiado </t>
  </si>
  <si>
    <t xml:space="preserve">Recaudado </t>
  </si>
  <si>
    <t>TASAS</t>
  </si>
  <si>
    <t xml:space="preserve">Multas </t>
  </si>
  <si>
    <t>1800-010302</t>
  </si>
  <si>
    <t>1800-01030203</t>
  </si>
  <si>
    <t>1800-0104</t>
  </si>
  <si>
    <t>18-010301010101-07</t>
  </si>
  <si>
    <t>1800-01030102</t>
  </si>
  <si>
    <t>1800-0103010201</t>
  </si>
  <si>
    <t>1800-010301020101-05</t>
  </si>
  <si>
    <t>1800-010301020103-12</t>
  </si>
  <si>
    <t>1800-010301020104-12</t>
  </si>
  <si>
    <t>1800-010301020201-12</t>
  </si>
  <si>
    <t>1800-0103010208</t>
  </si>
  <si>
    <t xml:space="preserve">Tasa Aprovechamiento Forestal </t>
  </si>
  <si>
    <t xml:space="preserve">Movilización Materia Vegetal </t>
  </si>
  <si>
    <t xml:space="preserve">Recurperacion de Cartera </t>
  </si>
  <si>
    <t>Recuperacion de Cartera Tasa Retributivas y Compensaciones</t>
  </si>
  <si>
    <t>1800-0103</t>
  </si>
  <si>
    <t>1800-010301</t>
  </si>
  <si>
    <t>1800-01030101</t>
  </si>
  <si>
    <t>1800-010301020102-11</t>
  </si>
  <si>
    <t>1800-010301020105-12</t>
  </si>
  <si>
    <t>1800-010301020102-02</t>
  </si>
  <si>
    <t>1800-01030205</t>
  </si>
  <si>
    <t>1800-010302050402-12</t>
  </si>
  <si>
    <t>1800-010302050401-12</t>
  </si>
  <si>
    <t>1800-01040000</t>
  </si>
  <si>
    <t>1800-010301020202</t>
  </si>
  <si>
    <t>1800-010301020805-02</t>
  </si>
  <si>
    <t>Recuperacion de Cartera por Utilizacion del Recurso Hidrico</t>
  </si>
  <si>
    <t>1800-010302050407-11</t>
  </si>
  <si>
    <t xml:space="preserve">Recuperacion Incapacidad y Licencia de Maternidad </t>
  </si>
  <si>
    <t>1800-0103010206010445-04</t>
  </si>
  <si>
    <t>Identificacion Presupuestal</t>
  </si>
  <si>
    <t>1800-010301020810-30</t>
  </si>
  <si>
    <t>1800-01030102080-12</t>
  </si>
  <si>
    <t>FCA Funcionamiento</t>
  </si>
  <si>
    <t xml:space="preserve">FCA </t>
  </si>
  <si>
    <t>Inversión. FCA</t>
  </si>
  <si>
    <t>Ingresos Propios</t>
  </si>
  <si>
    <t>Ingresos Corrientes</t>
  </si>
  <si>
    <t>Recursos de Capital</t>
  </si>
  <si>
    <t>Aportes de La Nacion</t>
  </si>
  <si>
    <t>Apropiado</t>
  </si>
  <si>
    <t>Recaudado</t>
  </si>
  <si>
    <t>Total Ingresos Vigencia</t>
  </si>
  <si>
    <t xml:space="preserve">RECURSOS VIGENCIA 2015. </t>
  </si>
  <si>
    <t>FONAM</t>
  </si>
  <si>
    <t>Inversion FONAM</t>
  </si>
  <si>
    <t>GASTOS DE PERSONAL. Honorarios</t>
  </si>
  <si>
    <t>Sistema General de Regalias</t>
  </si>
  <si>
    <t xml:space="preserve">Presupuestado </t>
  </si>
  <si>
    <t xml:space="preserve">Certificado </t>
  </si>
  <si>
    <t>RECURSOS VIGENCIA 2015. Diciembre  31</t>
  </si>
  <si>
    <t xml:space="preserve">Otras Ejecutoras Barrancas </t>
  </si>
  <si>
    <t>Rezago Año Anterio Inversion FCA csf y ssf</t>
  </si>
  <si>
    <t>Rezago Año Anterio Inversion FONAM ssf</t>
  </si>
  <si>
    <t>1800-01040201-111</t>
  </si>
  <si>
    <t>1800-01040201-112</t>
  </si>
  <si>
    <t>Recuperacion de Cartera 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</si>
</sst>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0_ ;\-#,##0.00\ "/>
    <numFmt numFmtId="167" formatCode="_ * #,##0_ ;_ * \-#,##0_ ;_ * &quot;-&quot;??_ ;_ @_ "/>
    <numFmt numFmtId="168" formatCode="[$$-240A]\ #,##0"/>
    <numFmt numFmtId="169" formatCode="0.0%"/>
    <numFmt numFmtId="170" formatCode="_(&quot;$&quot;\ * #,##0_);_(&quot;$&quot;\ * \(#,##0\);_(&quot;$&quot;\ * &quot;-&quot;??_);_(@_)"/>
  </numFmts>
  <fonts count="2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Univers"/>
      <family val="2"/>
    </font>
    <font>
      <b/>
      <sz val="9"/>
      <name val="Univers"/>
      <family val="2"/>
    </font>
    <font>
      <b/>
      <sz val="8"/>
      <name val="Univers"/>
      <family val="2"/>
    </font>
    <font>
      <b/>
      <sz val="8"/>
      <name val="Arial"/>
      <family val="2"/>
    </font>
    <font>
      <b/>
      <sz val="6"/>
      <name val="Arial"/>
      <family val="2"/>
    </font>
    <font>
      <sz val="10"/>
      <name val="Univers"/>
      <family val="2"/>
    </font>
    <font>
      <sz val="8"/>
      <name val="Arial"/>
      <family val="2"/>
    </font>
    <font>
      <b/>
      <vertAlign val="superscript"/>
      <sz val="9"/>
      <name val="Univers"/>
      <family val="2"/>
    </font>
    <font>
      <b/>
      <vertAlign val="superscript"/>
      <sz val="8"/>
      <color indexed="10"/>
      <name val="Univers"/>
      <family val="2"/>
    </font>
    <font>
      <b/>
      <sz val="8"/>
      <color indexed="10"/>
      <name val="Univers"/>
      <family val="2"/>
    </font>
    <font>
      <b/>
      <sz val="10"/>
      <name val="Univers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9"/>
      <name val="Univers"/>
    </font>
    <font>
      <sz val="16"/>
      <color rgb="FF444444"/>
      <name val="Segoe UI Light"/>
      <family val="2"/>
    </font>
    <font>
      <b/>
      <sz val="8"/>
      <name val="Univers"/>
    </font>
    <font>
      <b/>
      <sz val="7"/>
      <name val="Univers"/>
      <family val="2"/>
    </font>
    <font>
      <sz val="7"/>
      <name val="Univers"/>
      <family val="2"/>
    </font>
    <font>
      <sz val="7"/>
      <name val="Arial"/>
      <family val="2"/>
    </font>
    <font>
      <b/>
      <sz val="7"/>
      <name val="Univers"/>
    </font>
    <font>
      <sz val="9"/>
      <name val="Univers"/>
    </font>
    <font>
      <sz val="8"/>
      <name val="Univers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2" fillId="0" borderId="1" xfId="0" applyFont="1" applyBorder="1" applyProtection="1"/>
    <xf numFmtId="0" fontId="0" fillId="0" borderId="2" xfId="0" applyBorder="1" applyProtection="1"/>
    <xf numFmtId="0" fontId="0" fillId="0" borderId="3" xfId="0" applyBorder="1" applyProtection="1"/>
    <xf numFmtId="0" fontId="5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5" fillId="0" borderId="5" xfId="0" applyFont="1" applyFill="1" applyBorder="1" applyProtection="1"/>
    <xf numFmtId="0" fontId="5" fillId="0" borderId="6" xfId="0" applyFont="1" applyFill="1" applyBorder="1" applyProtection="1"/>
    <xf numFmtId="0" fontId="5" fillId="0" borderId="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/>
    <xf numFmtId="0" fontId="4" fillId="3" borderId="8" xfId="0" applyFont="1" applyFill="1" applyBorder="1" applyProtection="1"/>
    <xf numFmtId="0" fontId="4" fillId="4" borderId="8" xfId="0" applyFont="1" applyFill="1" applyBorder="1" applyProtection="1"/>
    <xf numFmtId="0" fontId="3" fillId="0" borderId="8" xfId="0" applyFont="1" applyFill="1" applyBorder="1" applyProtection="1"/>
    <xf numFmtId="0" fontId="5" fillId="0" borderId="8" xfId="0" applyFont="1" applyFill="1" applyBorder="1" applyProtection="1"/>
    <xf numFmtId="0" fontId="4" fillId="0" borderId="8" xfId="0" applyFont="1" applyBorder="1" applyProtection="1"/>
    <xf numFmtId="1" fontId="4" fillId="2" borderId="8" xfId="0" applyNumberFormat="1" applyFont="1" applyFill="1" applyBorder="1" applyProtection="1"/>
    <xf numFmtId="165" fontId="4" fillId="2" borderId="10" xfId="1" applyNumberFormat="1" applyFont="1" applyFill="1" applyBorder="1" applyProtection="1"/>
    <xf numFmtId="165" fontId="4" fillId="3" borderId="11" xfId="1" applyNumberFormat="1" applyFont="1" applyFill="1" applyBorder="1" applyProtection="1"/>
    <xf numFmtId="165" fontId="4" fillId="4" borderId="11" xfId="1" applyNumberFormat="1" applyFont="1" applyFill="1" applyBorder="1" applyProtection="1"/>
    <xf numFmtId="165" fontId="5" fillId="0" borderId="11" xfId="1" applyNumberFormat="1" applyFont="1" applyFill="1" applyBorder="1" applyProtection="1"/>
    <xf numFmtId="165" fontId="4" fillId="0" borderId="11" xfId="1" applyNumberFormat="1" applyFont="1" applyBorder="1" applyProtection="1"/>
    <xf numFmtId="165" fontId="4" fillId="2" borderId="11" xfId="1" applyNumberFormat="1" applyFont="1" applyFill="1" applyBorder="1" applyProtection="1"/>
    <xf numFmtId="165" fontId="3" fillId="0" borderId="11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0" fontId="7" fillId="0" borderId="12" xfId="0" applyFont="1" applyBorder="1" applyAlignment="1" applyProtection="1">
      <alignment horizontal="center" vertical="top" wrapText="1"/>
    </xf>
    <xf numFmtId="0" fontId="7" fillId="0" borderId="13" xfId="0" applyFont="1" applyBorder="1" applyAlignment="1" applyProtection="1">
      <alignment horizontal="center" vertical="top" wrapText="1"/>
    </xf>
    <xf numFmtId="0" fontId="5" fillId="0" borderId="14" xfId="0" applyFont="1" applyFill="1" applyBorder="1" applyProtection="1"/>
    <xf numFmtId="0" fontId="3" fillId="0" borderId="0" xfId="0" applyFont="1" applyBorder="1" applyProtection="1"/>
    <xf numFmtId="0" fontId="5" fillId="0" borderId="15" xfId="0" applyFont="1" applyFill="1" applyBorder="1" applyAlignment="1" applyProtection="1">
      <alignment wrapText="1"/>
      <protection locked="0"/>
    </xf>
    <xf numFmtId="165" fontId="5" fillId="0" borderId="16" xfId="1" applyFont="1" applyFill="1" applyBorder="1" applyProtection="1"/>
    <xf numFmtId="165" fontId="5" fillId="0" borderId="17" xfId="1" applyFont="1" applyFill="1" applyBorder="1" applyProtection="1"/>
    <xf numFmtId="165" fontId="5" fillId="0" borderId="10" xfId="1" applyFont="1" applyFill="1" applyBorder="1" applyProtection="1"/>
    <xf numFmtId="165" fontId="5" fillId="0" borderId="18" xfId="1" applyFont="1" applyFill="1" applyBorder="1" applyProtection="1"/>
    <xf numFmtId="165" fontId="3" fillId="0" borderId="11" xfId="1" applyFont="1" applyFill="1" applyBorder="1" applyProtection="1"/>
    <xf numFmtId="165" fontId="3" fillId="0" borderId="19" xfId="1" applyFont="1" applyFill="1" applyBorder="1" applyProtection="1"/>
    <xf numFmtId="165" fontId="3" fillId="0" borderId="20" xfId="1" applyFont="1" applyFill="1" applyBorder="1" applyProtection="1"/>
    <xf numFmtId="165" fontId="3" fillId="0" borderId="21" xfId="1" applyFont="1" applyFill="1" applyBorder="1" applyProtection="1"/>
    <xf numFmtId="165" fontId="5" fillId="0" borderId="11" xfId="1" applyFont="1" applyFill="1" applyBorder="1" applyProtection="1"/>
    <xf numFmtId="165" fontId="5" fillId="0" borderId="19" xfId="1" applyFont="1" applyFill="1" applyBorder="1" applyProtection="1"/>
    <xf numFmtId="165" fontId="3" fillId="0" borderId="0" xfId="1" applyFont="1" applyBorder="1" applyProtection="1"/>
    <xf numFmtId="165" fontId="3" fillId="0" borderId="0" xfId="1" applyFont="1" applyFill="1" applyBorder="1" applyProtection="1"/>
    <xf numFmtId="165" fontId="5" fillId="0" borderId="16" xfId="1" applyFont="1" applyFill="1" applyBorder="1" applyProtection="1">
      <protection locked="0"/>
    </xf>
    <xf numFmtId="165" fontId="3" fillId="0" borderId="11" xfId="1" applyFont="1" applyFill="1" applyBorder="1" applyProtection="1">
      <protection locked="0"/>
    </xf>
    <xf numFmtId="165" fontId="3" fillId="0" borderId="20" xfId="1" applyFont="1" applyFill="1" applyBorder="1" applyProtection="1">
      <protection locked="0"/>
    </xf>
    <xf numFmtId="165" fontId="14" fillId="0" borderId="11" xfId="1" applyFont="1" applyFill="1" applyBorder="1" applyAlignment="1" applyProtection="1">
      <alignment wrapText="1"/>
      <protection locked="0"/>
    </xf>
    <xf numFmtId="165" fontId="14" fillId="0" borderId="11" xfId="1" applyFont="1" applyFill="1" applyBorder="1" applyProtection="1"/>
    <xf numFmtId="165" fontId="14" fillId="0" borderId="19" xfId="1" applyFont="1" applyFill="1" applyBorder="1" applyProtection="1"/>
    <xf numFmtId="165" fontId="14" fillId="0" borderId="22" xfId="1" applyFont="1" applyFill="1" applyBorder="1" applyAlignment="1" applyProtection="1">
      <alignment wrapText="1"/>
      <protection locked="0"/>
    </xf>
    <xf numFmtId="165" fontId="14" fillId="0" borderId="20" xfId="1" applyFont="1" applyFill="1" applyBorder="1" applyProtection="1"/>
    <xf numFmtId="0" fontId="14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wrapText="1"/>
      <protection locked="0"/>
    </xf>
    <xf numFmtId="165" fontId="15" fillId="0" borderId="11" xfId="1" applyFont="1" applyFill="1" applyBorder="1" applyAlignment="1" applyProtection="1">
      <alignment wrapText="1"/>
      <protection locked="0"/>
    </xf>
    <xf numFmtId="165" fontId="15" fillId="0" borderId="22" xfId="1" applyFont="1" applyFill="1" applyBorder="1" applyAlignment="1" applyProtection="1">
      <alignment wrapText="1"/>
      <protection locked="0"/>
    </xf>
    <xf numFmtId="165" fontId="14" fillId="0" borderId="24" xfId="1" applyFont="1" applyFill="1" applyBorder="1" applyAlignment="1" applyProtection="1">
      <alignment wrapText="1"/>
      <protection locked="0"/>
    </xf>
    <xf numFmtId="0" fontId="5" fillId="0" borderId="1" xfId="0" applyFont="1" applyFill="1" applyBorder="1" applyProtection="1"/>
    <xf numFmtId="0" fontId="14" fillId="0" borderId="11" xfId="0" applyFont="1" applyFill="1" applyBorder="1" applyAlignment="1" applyProtection="1">
      <alignment horizontal="justify" wrapText="1"/>
      <protection locked="0"/>
    </xf>
    <xf numFmtId="0" fontId="3" fillId="0" borderId="8" xfId="0" applyFont="1" applyFill="1" applyBorder="1" applyAlignment="1" applyProtection="1">
      <alignment wrapText="1"/>
    </xf>
    <xf numFmtId="165" fontId="4" fillId="0" borderId="11" xfId="1" applyFont="1" applyBorder="1" applyProtection="1">
      <protection locked="0"/>
    </xf>
    <xf numFmtId="165" fontId="14" fillId="0" borderId="11" xfId="1" applyFont="1" applyFill="1" applyBorder="1" applyProtection="1">
      <protection locked="0"/>
    </xf>
    <xf numFmtId="165" fontId="14" fillId="0" borderId="20" xfId="1" applyFont="1" applyFill="1" applyBorder="1" applyProtection="1">
      <protection locked="0"/>
    </xf>
    <xf numFmtId="165" fontId="5" fillId="0" borderId="16" xfId="1" applyFont="1" applyFill="1" applyBorder="1" applyAlignment="1" applyProtection="1"/>
    <xf numFmtId="165" fontId="15" fillId="0" borderId="27" xfId="1" applyFont="1" applyFill="1" applyBorder="1" applyAlignment="1" applyProtection="1">
      <alignment wrapText="1"/>
      <protection locked="0"/>
    </xf>
    <xf numFmtId="165" fontId="14" fillId="0" borderId="27" xfId="1" applyFont="1" applyFill="1" applyBorder="1" applyAlignment="1" applyProtection="1">
      <alignment wrapText="1"/>
      <protection locked="0"/>
    </xf>
    <xf numFmtId="165" fontId="14" fillId="0" borderId="27" xfId="1" applyFont="1" applyFill="1" applyBorder="1" applyAlignment="1" applyProtection="1"/>
    <xf numFmtId="165" fontId="14" fillId="0" borderId="11" xfId="1" applyFont="1" applyFill="1" applyBorder="1" applyAlignment="1" applyProtection="1"/>
    <xf numFmtId="165" fontId="5" fillId="0" borderId="17" xfId="1" applyFont="1" applyFill="1" applyBorder="1" applyAlignment="1" applyProtection="1"/>
    <xf numFmtId="165" fontId="15" fillId="0" borderId="22" xfId="1" applyFont="1" applyFill="1" applyBorder="1" applyAlignment="1" applyProtection="1"/>
    <xf numFmtId="165" fontId="15" fillId="0" borderId="28" xfId="1" applyFont="1" applyFill="1" applyBorder="1" applyAlignment="1" applyProtection="1"/>
    <xf numFmtId="165" fontId="14" fillId="0" borderId="19" xfId="1" applyFont="1" applyFill="1" applyBorder="1" applyAlignment="1" applyProtection="1"/>
    <xf numFmtId="165" fontId="15" fillId="0" borderId="11" xfId="1" applyFont="1" applyFill="1" applyBorder="1" applyAlignment="1" applyProtection="1"/>
    <xf numFmtId="165" fontId="15" fillId="0" borderId="19" xfId="1" applyFont="1" applyFill="1" applyBorder="1" applyAlignment="1" applyProtection="1"/>
    <xf numFmtId="0" fontId="4" fillId="0" borderId="11" xfId="0" applyFont="1" applyBorder="1" applyAlignment="1" applyProtection="1">
      <alignment horizontal="center" vertical="top"/>
    </xf>
    <xf numFmtId="165" fontId="0" fillId="0" borderId="0" xfId="0" applyNumberFormat="1"/>
    <xf numFmtId="0" fontId="4" fillId="0" borderId="8" xfId="0" applyFont="1" applyFill="1" applyBorder="1" applyProtection="1"/>
    <xf numFmtId="165" fontId="4" fillId="0" borderId="11" xfId="1" applyNumberFormat="1" applyFont="1" applyFill="1" applyBorder="1" applyProtection="1">
      <protection locked="0"/>
    </xf>
    <xf numFmtId="0" fontId="14" fillId="0" borderId="5" xfId="0" applyFont="1" applyFill="1" applyBorder="1" applyAlignment="1" applyProtection="1">
      <alignment horizontal="justify" wrapText="1"/>
      <protection locked="0"/>
    </xf>
    <xf numFmtId="0" fontId="14" fillId="0" borderId="5" xfId="0" applyFont="1" applyFill="1" applyBorder="1" applyAlignment="1" applyProtection="1">
      <alignment wrapText="1"/>
      <protection locked="0"/>
    </xf>
    <xf numFmtId="10" fontId="0" fillId="0" borderId="0" xfId="0" applyNumberFormat="1"/>
    <xf numFmtId="10" fontId="0" fillId="0" borderId="11" xfId="0" applyNumberFormat="1" applyBorder="1" applyProtection="1"/>
    <xf numFmtId="165" fontId="14" fillId="0" borderId="0" xfId="1" applyFont="1" applyFill="1"/>
    <xf numFmtId="165" fontId="14" fillId="0" borderId="11" xfId="1" applyFont="1" applyFill="1" applyBorder="1" applyAlignment="1" applyProtection="1">
      <alignment horizontal="center" vertical="center" wrapText="1"/>
      <protection locked="0"/>
    </xf>
    <xf numFmtId="165" fontId="14" fillId="0" borderId="22" xfId="1" applyFont="1" applyFill="1" applyBorder="1" applyAlignment="1" applyProtection="1">
      <alignment horizontal="center" vertical="center" wrapText="1"/>
      <protection locked="0"/>
    </xf>
    <xf numFmtId="165" fontId="14" fillId="0" borderId="27" xfId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Protection="1"/>
    <xf numFmtId="165" fontId="4" fillId="6" borderId="11" xfId="1" applyNumberFormat="1" applyFont="1" applyFill="1" applyBorder="1" applyProtection="1"/>
    <xf numFmtId="0" fontId="14" fillId="0" borderId="27" xfId="0" applyFont="1" applyFill="1" applyBorder="1" applyAlignment="1" applyProtection="1">
      <alignment wrapText="1"/>
      <protection locked="0"/>
    </xf>
    <xf numFmtId="165" fontId="14" fillId="0" borderId="31" xfId="1" applyFont="1" applyFill="1" applyBorder="1" applyAlignment="1" applyProtection="1"/>
    <xf numFmtId="0" fontId="5" fillId="0" borderId="10" xfId="0" applyFont="1" applyFill="1" applyBorder="1" applyAlignment="1" applyProtection="1">
      <alignment wrapText="1"/>
      <protection locked="0"/>
    </xf>
    <xf numFmtId="165" fontId="15" fillId="0" borderId="32" xfId="1" applyFont="1" applyFill="1" applyBorder="1" applyAlignment="1" applyProtection="1">
      <alignment wrapText="1"/>
      <protection locked="0"/>
    </xf>
    <xf numFmtId="165" fontId="15" fillId="0" borderId="10" xfId="1" applyFont="1" applyFill="1" applyBorder="1" applyAlignment="1" applyProtection="1">
      <alignment wrapText="1"/>
      <protection locked="0"/>
    </xf>
    <xf numFmtId="165" fontId="15" fillId="0" borderId="10" xfId="1" applyFont="1" applyFill="1" applyBorder="1" applyAlignment="1" applyProtection="1"/>
    <xf numFmtId="165" fontId="15" fillId="0" borderId="18" xfId="1" applyFont="1" applyFill="1" applyBorder="1" applyAlignment="1" applyProtection="1"/>
    <xf numFmtId="0" fontId="3" fillId="0" borderId="8" xfId="0" applyFont="1" applyFill="1" applyBorder="1" applyAlignment="1" applyProtection="1">
      <alignment horizontal="justify" vertical="top" wrapText="1"/>
    </xf>
    <xf numFmtId="165" fontId="3" fillId="0" borderId="11" xfId="1" applyNumberFormat="1" applyFont="1" applyFill="1" applyBorder="1" applyAlignment="1" applyProtection="1">
      <alignment horizontal="center" vertical="center"/>
      <protection locked="0"/>
    </xf>
    <xf numFmtId="17" fontId="0" fillId="0" borderId="2" xfId="0" applyNumberFormat="1" applyBorder="1" applyProtection="1"/>
    <xf numFmtId="9" fontId="0" fillId="0" borderId="0" xfId="2" applyFont="1"/>
    <xf numFmtId="0" fontId="16" fillId="0" borderId="0" xfId="0" applyFont="1"/>
    <xf numFmtId="10" fontId="16" fillId="0" borderId="0" xfId="0" applyNumberFormat="1" applyFont="1"/>
    <xf numFmtId="0" fontId="4" fillId="0" borderId="11" xfId="0" applyFont="1" applyFill="1" applyBorder="1" applyProtection="1"/>
    <xf numFmtId="1" fontId="4" fillId="0" borderId="11" xfId="0" applyNumberFormat="1" applyFont="1" applyFill="1" applyBorder="1" applyProtection="1"/>
    <xf numFmtId="167" fontId="4" fillId="0" borderId="11" xfId="1" applyNumberFormat="1" applyFont="1" applyFill="1" applyBorder="1" applyProtection="1"/>
    <xf numFmtId="0" fontId="2" fillId="0" borderId="11" xfId="0" applyFont="1" applyFill="1" applyBorder="1"/>
    <xf numFmtId="0" fontId="17" fillId="0" borderId="11" xfId="0" applyFont="1" applyFill="1" applyBorder="1" applyAlignment="1" applyProtection="1">
      <alignment horizontal="center" vertical="top"/>
    </xf>
    <xf numFmtId="0" fontId="2" fillId="0" borderId="0" xfId="0" applyFont="1" applyAlignment="1">
      <alignment horizontal="center" vertical="center"/>
    </xf>
    <xf numFmtId="167" fontId="0" fillId="0" borderId="0" xfId="0" applyNumberFormat="1"/>
    <xf numFmtId="0" fontId="14" fillId="0" borderId="5" xfId="0" applyFont="1" applyFill="1" applyBorder="1" applyAlignment="1" applyProtection="1">
      <protection locked="0"/>
    </xf>
    <xf numFmtId="0" fontId="14" fillId="0" borderId="10" xfId="0" applyFont="1" applyFill="1" applyBorder="1" applyAlignment="1" applyProtection="1">
      <alignment horizontal="justify" wrapText="1"/>
      <protection locked="0"/>
    </xf>
    <xf numFmtId="165" fontId="14" fillId="0" borderId="10" xfId="1" applyFont="1" applyFill="1" applyBorder="1" applyAlignment="1" applyProtection="1">
      <alignment horizontal="center" vertical="center" wrapText="1"/>
      <protection locked="0"/>
    </xf>
    <xf numFmtId="165" fontId="14" fillId="0" borderId="10" xfId="1" applyFont="1" applyFill="1" applyBorder="1" applyAlignment="1" applyProtection="1">
      <alignment wrapText="1"/>
      <protection locked="0"/>
    </xf>
    <xf numFmtId="165" fontId="14" fillId="0" borderId="10" xfId="1" applyFont="1" applyFill="1" applyBorder="1" applyAlignment="1" applyProtection="1"/>
    <xf numFmtId="165" fontId="14" fillId="0" borderId="41" xfId="1" applyFont="1" applyFill="1" applyBorder="1" applyAlignment="1" applyProtection="1"/>
    <xf numFmtId="165" fontId="4" fillId="0" borderId="11" xfId="1" applyNumberFormat="1" applyFont="1" applyFill="1" applyBorder="1" applyProtection="1"/>
    <xf numFmtId="165" fontId="4" fillId="0" borderId="11" xfId="1" applyFont="1" applyFill="1" applyBorder="1" applyProtection="1"/>
    <xf numFmtId="2" fontId="0" fillId="0" borderId="0" xfId="0" applyNumberFormat="1"/>
    <xf numFmtId="44" fontId="4" fillId="0" borderId="11" xfId="3" applyFont="1" applyFill="1" applyBorder="1" applyProtection="1"/>
    <xf numFmtId="165" fontId="5" fillId="0" borderId="16" xfId="1" applyNumberFormat="1" applyFont="1" applyFill="1" applyBorder="1" applyProtection="1">
      <protection locked="0"/>
    </xf>
    <xf numFmtId="165" fontId="3" fillId="0" borderId="11" xfId="1" applyNumberFormat="1" applyFont="1" applyFill="1" applyBorder="1" applyAlignment="1" applyProtection="1">
      <alignment horizontal="right"/>
      <protection locked="0"/>
    </xf>
    <xf numFmtId="165" fontId="5" fillId="0" borderId="11" xfId="1" applyNumberFormat="1" applyFont="1" applyFill="1" applyBorder="1" applyAlignment="1" applyProtection="1">
      <alignment horizontal="right"/>
      <protection locked="0"/>
    </xf>
    <xf numFmtId="2" fontId="0" fillId="0" borderId="11" xfId="0" applyNumberFormat="1" applyBorder="1"/>
    <xf numFmtId="43" fontId="0" fillId="0" borderId="0" xfId="0" applyNumberFormat="1"/>
    <xf numFmtId="165" fontId="0" fillId="0" borderId="0" xfId="1" applyFont="1"/>
    <xf numFmtId="43" fontId="0" fillId="0" borderId="0" xfId="0" applyNumberFormat="1" applyProtection="1"/>
    <xf numFmtId="165" fontId="0" fillId="0" borderId="0" xfId="1" applyFont="1" applyProtection="1"/>
    <xf numFmtId="165" fontId="3" fillId="0" borderId="11" xfId="1" applyNumberFormat="1" applyFont="1" applyFill="1" applyBorder="1" applyProtection="1"/>
    <xf numFmtId="0" fontId="18" fillId="0" borderId="0" xfId="0" applyFont="1" applyAlignment="1">
      <alignment horizontal="left" wrapText="1"/>
    </xf>
    <xf numFmtId="1" fontId="4" fillId="0" borderId="0" xfId="0" applyNumberFormat="1" applyFont="1" applyFill="1" applyBorder="1" applyProtection="1"/>
    <xf numFmtId="167" fontId="4" fillId="0" borderId="0" xfId="1" applyNumberFormat="1" applyFont="1" applyFill="1" applyBorder="1" applyProtection="1"/>
    <xf numFmtId="2" fontId="0" fillId="0" borderId="0" xfId="0" applyNumberFormat="1" applyBorder="1"/>
    <xf numFmtId="165" fontId="19" fillId="0" borderId="11" xfId="1" applyFont="1" applyFill="1" applyBorder="1" applyProtection="1">
      <protection locked="0"/>
    </xf>
    <xf numFmtId="164" fontId="0" fillId="0" borderId="0" xfId="0" applyNumberFormat="1"/>
    <xf numFmtId="165" fontId="3" fillId="0" borderId="11" xfId="1" applyNumberFormat="1" applyFont="1" applyFill="1" applyBorder="1" applyAlignment="1" applyProtection="1">
      <alignment vertical="center"/>
      <protection locked="0"/>
    </xf>
    <xf numFmtId="0" fontId="21" fillId="0" borderId="8" xfId="0" applyFont="1" applyFill="1" applyBorder="1" applyProtection="1"/>
    <xf numFmtId="1" fontId="20" fillId="0" borderId="9" xfId="4" applyNumberFormat="1" applyFont="1" applyBorder="1" applyAlignment="1" applyProtection="1">
      <alignment horizontal="left"/>
    </xf>
    <xf numFmtId="1" fontId="20" fillId="2" borderId="29" xfId="0" applyNumberFormat="1" applyFont="1" applyFill="1" applyBorder="1" applyAlignment="1" applyProtection="1">
      <alignment horizontal="left"/>
    </xf>
    <xf numFmtId="1" fontId="20" fillId="3" borderId="9" xfId="0" applyNumberFormat="1" applyFont="1" applyFill="1" applyBorder="1" applyAlignment="1" applyProtection="1">
      <alignment horizontal="left"/>
    </xf>
    <xf numFmtId="1" fontId="20" fillId="4" borderId="9" xfId="0" applyNumberFormat="1" applyFont="1" applyFill="1" applyBorder="1" applyAlignment="1" applyProtection="1">
      <alignment horizontal="left"/>
    </xf>
    <xf numFmtId="0" fontId="22" fillId="0" borderId="0" xfId="0" applyFont="1" applyAlignment="1">
      <alignment horizontal="left"/>
    </xf>
    <xf numFmtId="1" fontId="20" fillId="4" borderId="9" xfId="4" applyNumberFormat="1" applyFont="1" applyFill="1" applyBorder="1" applyAlignment="1" applyProtection="1">
      <alignment horizontal="left"/>
    </xf>
    <xf numFmtId="1" fontId="20" fillId="0" borderId="9" xfId="4" applyNumberFormat="1" applyFont="1" applyBorder="1" applyAlignment="1" applyProtection="1">
      <alignment horizontal="left" vertical="center"/>
    </xf>
    <xf numFmtId="1" fontId="20" fillId="3" borderId="9" xfId="4" applyNumberFormat="1" applyFont="1" applyFill="1" applyBorder="1" applyAlignment="1" applyProtection="1">
      <alignment horizontal="left"/>
    </xf>
    <xf numFmtId="1" fontId="21" fillId="0" borderId="9" xfId="4" applyNumberFormat="1" applyFont="1" applyBorder="1" applyAlignment="1" applyProtection="1">
      <alignment horizontal="left"/>
    </xf>
    <xf numFmtId="1" fontId="23" fillId="0" borderId="9" xfId="4" applyNumberFormat="1" applyFont="1" applyBorder="1" applyAlignment="1" applyProtection="1">
      <alignment horizontal="left"/>
    </xf>
    <xf numFmtId="1" fontId="20" fillId="2" borderId="9" xfId="4" applyNumberFormat="1" applyFont="1" applyFill="1" applyBorder="1" applyAlignment="1" applyProtection="1">
      <alignment horizontal="left"/>
    </xf>
    <xf numFmtId="1" fontId="20" fillId="5" borderId="9" xfId="4" applyNumberFormat="1" applyFont="1" applyFill="1" applyBorder="1" applyAlignment="1" applyProtection="1">
      <alignment horizontal="left"/>
    </xf>
    <xf numFmtId="1" fontId="20" fillId="5" borderId="23" xfId="4" applyNumberFormat="1" applyFont="1" applyFill="1" applyBorder="1" applyAlignment="1" applyProtection="1">
      <alignment horizontal="left"/>
    </xf>
    <xf numFmtId="1" fontId="20" fillId="2" borderId="30" xfId="4" applyNumberFormat="1" applyFont="1" applyFill="1" applyBorder="1" applyAlignment="1" applyProtection="1">
      <alignment horizontal="left"/>
    </xf>
    <xf numFmtId="1" fontId="20" fillId="5" borderId="9" xfId="0" applyNumberFormat="1" applyFont="1" applyFill="1" applyBorder="1" applyAlignment="1" applyProtection="1">
      <alignment horizontal="left"/>
    </xf>
    <xf numFmtId="0" fontId="23" fillId="0" borderId="11" xfId="0" applyFont="1" applyBorder="1" applyProtection="1"/>
    <xf numFmtId="1" fontId="24" fillId="0" borderId="8" xfId="0" applyNumberFormat="1" applyFont="1" applyFill="1" applyBorder="1" applyProtection="1"/>
    <xf numFmtId="1" fontId="24" fillId="5" borderId="8" xfId="0" applyNumberFormat="1" applyFont="1" applyFill="1" applyBorder="1" applyProtection="1"/>
    <xf numFmtId="165" fontId="24" fillId="7" borderId="11" xfId="1" applyNumberFormat="1" applyFont="1" applyFill="1" applyBorder="1" applyProtection="1"/>
    <xf numFmtId="165" fontId="24" fillId="5" borderId="11" xfId="1" applyNumberFormat="1" applyFont="1" applyFill="1" applyBorder="1" applyProtection="1">
      <protection locked="0"/>
    </xf>
    <xf numFmtId="2" fontId="0" fillId="0" borderId="11" xfId="2" applyNumberFormat="1" applyFont="1" applyBorder="1"/>
    <xf numFmtId="2" fontId="0" fillId="0" borderId="42" xfId="2" applyNumberFormat="1" applyFont="1" applyBorder="1"/>
    <xf numFmtId="9" fontId="0" fillId="0" borderId="42" xfId="2" applyFont="1" applyBorder="1"/>
    <xf numFmtId="0" fontId="0" fillId="0" borderId="11" xfId="0" applyBorder="1"/>
    <xf numFmtId="166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6" fontId="14" fillId="0" borderId="22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22" xfId="1" applyFont="1" applyFill="1" applyBorder="1" applyAlignment="1" applyProtection="1">
      <alignment horizontal="right" vertical="center" wrapText="1"/>
      <protection locked="0"/>
    </xf>
    <xf numFmtId="165" fontId="14" fillId="0" borderId="11" xfId="1" applyFont="1" applyFill="1" applyBorder="1" applyAlignment="1" applyProtection="1">
      <alignment horizontal="right" vertical="center"/>
    </xf>
    <xf numFmtId="165" fontId="14" fillId="0" borderId="19" xfId="1" applyFont="1" applyFill="1" applyBorder="1" applyAlignment="1" applyProtection="1">
      <alignment horizontal="right" vertical="center"/>
    </xf>
    <xf numFmtId="165" fontId="25" fillId="0" borderId="11" xfId="1" applyFont="1" applyFill="1" applyBorder="1" applyAlignment="1" applyProtection="1"/>
    <xf numFmtId="164" fontId="9" fillId="0" borderId="0" xfId="0" applyNumberFormat="1" applyFont="1"/>
    <xf numFmtId="168" fontId="0" fillId="0" borderId="11" xfId="0" applyNumberFormat="1" applyBorder="1"/>
    <xf numFmtId="0" fontId="5" fillId="0" borderId="33" xfId="0" applyFont="1" applyFill="1" applyBorder="1" applyProtection="1"/>
    <xf numFmtId="0" fontId="16" fillId="0" borderId="11" xfId="0" applyFont="1" applyBorder="1"/>
    <xf numFmtId="0" fontId="7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65" fontId="0" fillId="0" borderId="11" xfId="1" applyFont="1" applyBorder="1"/>
    <xf numFmtId="165" fontId="0" fillId="0" borderId="11" xfId="0" applyNumberFormat="1" applyBorder="1"/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164" fontId="0" fillId="0" borderId="11" xfId="0" applyNumberFormat="1" applyBorder="1"/>
    <xf numFmtId="165" fontId="1" fillId="0" borderId="11" xfId="1" applyFont="1" applyBorder="1"/>
    <xf numFmtId="9" fontId="0" fillId="0" borderId="11" xfId="0" applyNumberFormat="1" applyBorder="1"/>
    <xf numFmtId="169" fontId="0" fillId="0" borderId="11" xfId="0" applyNumberFormat="1" applyBorder="1"/>
    <xf numFmtId="165" fontId="25" fillId="0" borderId="11" xfId="1" applyFont="1" applyFill="1" applyBorder="1" applyProtection="1"/>
    <xf numFmtId="0" fontId="5" fillId="0" borderId="11" xfId="0" applyFont="1" applyFill="1" applyBorder="1" applyProtection="1"/>
    <xf numFmtId="0" fontId="5" fillId="0" borderId="27" xfId="0" applyFont="1" applyFill="1" applyBorder="1" applyProtection="1"/>
    <xf numFmtId="165" fontId="25" fillId="0" borderId="27" xfId="1" applyFont="1" applyFill="1" applyBorder="1" applyAlignment="1" applyProtection="1"/>
    <xf numFmtId="165" fontId="25" fillId="0" borderId="27" xfId="1" applyFont="1" applyFill="1" applyBorder="1" applyProtection="1"/>
    <xf numFmtId="165" fontId="5" fillId="0" borderId="25" xfId="1" applyFont="1" applyFill="1" applyBorder="1" applyProtection="1"/>
    <xf numFmtId="0" fontId="8" fillId="0" borderId="4" xfId="0" applyFont="1" applyBorder="1" applyProtection="1"/>
    <xf numFmtId="165" fontId="8" fillId="0" borderId="37" xfId="1" applyFont="1" applyBorder="1" applyProtection="1"/>
    <xf numFmtId="165" fontId="3" fillId="0" borderId="37" xfId="1" applyFont="1" applyFill="1" applyBorder="1" applyAlignment="1" applyProtection="1"/>
    <xf numFmtId="165" fontId="14" fillId="0" borderId="17" xfId="1" applyFont="1" applyFill="1" applyBorder="1" applyAlignment="1" applyProtection="1"/>
    <xf numFmtId="0" fontId="0" fillId="0" borderId="0" xfId="0" applyBorder="1"/>
    <xf numFmtId="1" fontId="20" fillId="2" borderId="43" xfId="0" applyNumberFormat="1" applyFont="1" applyFill="1" applyBorder="1" applyAlignment="1" applyProtection="1">
      <alignment horizontal="left"/>
    </xf>
    <xf numFmtId="1" fontId="5" fillId="2" borderId="44" xfId="0" applyNumberFormat="1" applyFont="1" applyFill="1" applyBorder="1" applyProtection="1"/>
    <xf numFmtId="165" fontId="13" fillId="2" borderId="25" xfId="1" applyNumberFormat="1" applyFont="1" applyFill="1" applyBorder="1" applyProtection="1"/>
    <xf numFmtId="165" fontId="13" fillId="2" borderId="45" xfId="1" applyNumberFormat="1" applyFont="1" applyFill="1" applyBorder="1" applyProtection="1"/>
    <xf numFmtId="1" fontId="20" fillId="5" borderId="11" xfId="0" applyNumberFormat="1" applyFont="1" applyFill="1" applyBorder="1" applyAlignment="1" applyProtection="1">
      <alignment horizontal="left"/>
    </xf>
    <xf numFmtId="1" fontId="24" fillId="5" borderId="11" xfId="0" applyNumberFormat="1" applyFont="1" applyFill="1" applyBorder="1" applyProtection="1"/>
    <xf numFmtId="2" fontId="0" fillId="0" borderId="0" xfId="2" applyNumberFormat="1" applyFont="1"/>
    <xf numFmtId="170" fontId="2" fillId="0" borderId="0" xfId="3" applyNumberFormat="1" applyFont="1" applyProtection="1"/>
    <xf numFmtId="0" fontId="2" fillId="0" borderId="0" xfId="0" applyFont="1" applyAlignment="1">
      <alignment horizontal="center"/>
    </xf>
    <xf numFmtId="1" fontId="10" fillId="5" borderId="0" xfId="0" applyNumberFormat="1" applyFont="1" applyFill="1" applyBorder="1" applyAlignment="1" applyProtection="1">
      <alignment horizontal="left" vertical="top" wrapText="1"/>
    </xf>
    <xf numFmtId="1" fontId="3" fillId="5" borderId="0" xfId="0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1" fontId="5" fillId="5" borderId="0" xfId="0" applyNumberFormat="1" applyFont="1" applyFill="1" applyBorder="1" applyAlignment="1" applyProtection="1">
      <alignment horizontal="left" vertical="top" wrapText="1"/>
    </xf>
    <xf numFmtId="0" fontId="2" fillId="0" borderId="33" xfId="0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center"/>
    </xf>
    <xf numFmtId="0" fontId="6" fillId="0" borderId="33" xfId="0" applyFont="1" applyBorder="1" applyAlignment="1" applyProtection="1">
      <alignment horizontal="center" vertical="top" wrapText="1"/>
    </xf>
    <xf numFmtId="0" fontId="6" fillId="0" borderId="35" xfId="0" applyFont="1" applyBorder="1" applyAlignment="1" applyProtection="1">
      <alignment horizontal="center" vertical="top"/>
    </xf>
    <xf numFmtId="0" fontId="6" fillId="0" borderId="37" xfId="0" applyFont="1" applyBorder="1" applyAlignment="1" applyProtection="1">
      <alignment horizontal="center" vertical="top" wrapText="1"/>
    </xf>
    <xf numFmtId="0" fontId="6" fillId="0" borderId="37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center" vertical="top" wrapText="1"/>
    </xf>
    <xf numFmtId="0" fontId="6" fillId="0" borderId="38" xfId="0" applyFont="1" applyBorder="1" applyAlignment="1" applyProtection="1">
      <alignment horizontal="center" vertical="top"/>
    </xf>
    <xf numFmtId="0" fontId="6" fillId="0" borderId="39" xfId="0" applyFont="1" applyBorder="1" applyAlignment="1" applyProtection="1">
      <alignment horizontal="center" vertical="center" wrapText="1"/>
    </xf>
    <xf numFmtId="0" fontId="6" fillId="0" borderId="40" xfId="0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2" fillId="0" borderId="0" xfId="0" applyFont="1" applyFill="1" applyBorder="1" applyAlignment="1" applyProtection="1">
      <alignment horizontal="justify" vertical="top" wrapText="1"/>
    </xf>
  </cellXfs>
  <cellStyles count="8">
    <cellStyle name="Millares" xfId="1" builtinId="3"/>
    <cellStyle name="Millares 2" xfId="5"/>
    <cellStyle name="Moneda" xfId="3" builtinId="4"/>
    <cellStyle name="Moneda 2" xfId="7"/>
    <cellStyle name="Normal" xfId="0" builtinId="0"/>
    <cellStyle name="Normal 2" xfId="4"/>
    <cellStyle name="Porcentaje" xfId="2" builtin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('Anexo 5-1 Ingresos'!$B$6:$B$8,'Anexo 5-1 Ingresos'!$B$12,'Anexo 5-1 Ingresos'!$B$37,'Anexo 5-1 Ingresos'!$B$56)</c:f>
              <c:strCache>
                <c:ptCount val="6"/>
                <c:pt idx="0">
                  <c:v>INGRESOS PROPIOS</c:v>
                </c:pt>
                <c:pt idx="1">
                  <c:v>INGRESOS CORRIENTES</c:v>
                </c:pt>
                <c:pt idx="2">
                  <c:v>Tributarios</c:v>
                </c:pt>
                <c:pt idx="3">
                  <c:v>No Tributarios</c:v>
                </c:pt>
                <c:pt idx="4">
                  <c:v>RECURSOS DE CAPITAL</c:v>
                </c:pt>
                <c:pt idx="5">
                  <c:v>APORTES DE LA NACION</c:v>
                </c:pt>
              </c:strCache>
            </c:strRef>
          </c:cat>
          <c:val>
            <c:numRef>
              <c:f>('Anexo 5-1 Ingresos'!$C$6:$C$8,'Anexo 5-1 Ingresos'!$C$12,'Anexo 5-1 Ingresos'!$C$37,'Anexo 5-1 Ingresos'!$C$56)</c:f>
              <c:numCache>
                <c:formatCode>_ * #,##0.00_ ;_ * \-#,##0.00_ ;_ * "-"??_ ;_ @_ </c:formatCode>
                <c:ptCount val="6"/>
                <c:pt idx="0">
                  <c:v>18974732003</c:v>
                </c:pt>
                <c:pt idx="1">
                  <c:v>13237464210</c:v>
                </c:pt>
                <c:pt idx="2">
                  <c:v>2535000000</c:v>
                </c:pt>
                <c:pt idx="3">
                  <c:v>10702464210</c:v>
                </c:pt>
                <c:pt idx="4">
                  <c:v>5737267793</c:v>
                </c:pt>
                <c:pt idx="5">
                  <c:v>6725936385</c:v>
                </c:pt>
              </c:numCache>
            </c:numRef>
          </c:val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('Anexo 5-1 Ingresos'!$B$6:$B$8,'Anexo 5-1 Ingresos'!$B$12,'Anexo 5-1 Ingresos'!$B$37,'Anexo 5-1 Ingresos'!$B$56)</c:f>
              <c:strCache>
                <c:ptCount val="6"/>
                <c:pt idx="0">
                  <c:v>INGRESOS PROPIOS</c:v>
                </c:pt>
                <c:pt idx="1">
                  <c:v>INGRESOS CORRIENTES</c:v>
                </c:pt>
                <c:pt idx="2">
                  <c:v>Tributarios</c:v>
                </c:pt>
                <c:pt idx="3">
                  <c:v>No Tributarios</c:v>
                </c:pt>
                <c:pt idx="4">
                  <c:v>RECURSOS DE CAPITAL</c:v>
                </c:pt>
                <c:pt idx="5">
                  <c:v>APORTES DE LA NACION</c:v>
                </c:pt>
              </c:strCache>
            </c:strRef>
          </c:cat>
          <c:val>
            <c:numRef>
              <c:f>('Anexo 5-1 Ingresos'!$D$6:$D$8,'Anexo 5-1 Ingresos'!$D$12,'Anexo 5-1 Ingresos'!$D$37,'Anexo 5-1 Ingresos'!$D$56)</c:f>
              <c:numCache>
                <c:formatCode>_ * #,##0.00_ ;_ * \-#,##0.00_ ;_ * "-"??_ ;_ @_ </c:formatCode>
                <c:ptCount val="6"/>
                <c:pt idx="0">
                  <c:v>17136511872.600002</c:v>
                </c:pt>
                <c:pt idx="1">
                  <c:v>12196737585.330002</c:v>
                </c:pt>
                <c:pt idx="2">
                  <c:v>2507089065</c:v>
                </c:pt>
                <c:pt idx="3">
                  <c:v>9689648520.3300018</c:v>
                </c:pt>
                <c:pt idx="4">
                  <c:v>4939774287.2700005</c:v>
                </c:pt>
                <c:pt idx="5">
                  <c:v>8050616567.04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'Anexo 5-1 Ingresos'!$H$3:$I$3</c:f>
              <c:strCache>
                <c:ptCount val="2"/>
                <c:pt idx="0">
                  <c:v>APROPIADO </c:v>
                </c:pt>
                <c:pt idx="1">
                  <c:v>RECAUDADO </c:v>
                </c:pt>
              </c:strCache>
            </c:strRef>
          </c:cat>
          <c:val>
            <c:numRef>
              <c:f>'Anexo 5-1 Ingresos'!$H$4:$I$4</c:f>
              <c:numCache>
                <c:formatCode>_ * #,##0_ ;_ * \-#,##0_ ;_ * "-"??_ ;_ @_ </c:formatCode>
                <c:ptCount val="2"/>
                <c:pt idx="0">
                  <c:v>25700668388</c:v>
                </c:pt>
                <c:pt idx="1">
                  <c:v>25187128439.640003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'Anexo 5-1 Ingresos'!$H$55:$H$59</c:f>
              <c:strCache>
                <c:ptCount val="5"/>
                <c:pt idx="0">
                  <c:v>INGRESOS PROPIOS</c:v>
                </c:pt>
                <c:pt idx="1">
                  <c:v>INGRESOS CORRIENTES</c:v>
                </c:pt>
                <c:pt idx="2">
                  <c:v>RECURSOS DE CAPITAL</c:v>
                </c:pt>
                <c:pt idx="3">
                  <c:v>APORTES DE LA NACION</c:v>
                </c:pt>
                <c:pt idx="4">
                  <c:v>TOTAL INGRESOS VIGENCIA</c:v>
                </c:pt>
              </c:strCache>
            </c:strRef>
          </c:cat>
          <c:val>
            <c:numRef>
              <c:f>'Anexo 5-1 Ingresos'!$I$55:$I$59</c:f>
              <c:numCache>
                <c:formatCode>0.00</c:formatCode>
                <c:ptCount val="5"/>
                <c:pt idx="0">
                  <c:v>0.68036782810184182</c:v>
                </c:pt>
                <c:pt idx="3" formatCode="0%">
                  <c:v>0.31963217189815807</c:v>
                </c:pt>
                <c:pt idx="4" formatCode="0%">
                  <c:v>0.99999999999999989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081464"/>
        <c:axId val="205805616"/>
        <c:axId val="0"/>
      </c:bar3DChart>
      <c:catAx>
        <c:axId val="206081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5805616"/>
        <c:crosses val="autoZero"/>
        <c:auto val="1"/>
        <c:lblAlgn val="ctr"/>
        <c:lblOffset val="100"/>
        <c:noMultiLvlLbl val="0"/>
      </c:catAx>
      <c:valAx>
        <c:axId val="2058056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6081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</a:t>
            </a:r>
            <a:r>
              <a:rPr lang="es-CO" baseline="0"/>
              <a:t> DE INGRESOS 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555555555555555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222222222222117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'Anexo 5-1 Ingresos'!$A$67:$A$68</c:f>
              <c:strCache>
                <c:ptCount val="2"/>
                <c:pt idx="0">
                  <c:v>APROPIADO</c:v>
                </c:pt>
                <c:pt idx="1">
                  <c:v>RECAUDADO</c:v>
                </c:pt>
              </c:strCache>
            </c:strRef>
          </c:cat>
          <c:val>
            <c:numRef>
              <c:f>'Anexo 5-1 Ingresos'!$B$67:$B$68</c:f>
              <c:numCache>
                <c:formatCode>_("$"\ * #,##0_);_("$"\ * \(#,##0\);_("$"\ * "-"??_);_(@_)</c:formatCode>
                <c:ptCount val="2"/>
                <c:pt idx="0">
                  <c:v>25700668388</c:v>
                </c:pt>
                <c:pt idx="1">
                  <c:v>25187128439.640003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5784784"/>
        <c:axId val="205582904"/>
        <c:axId val="0"/>
      </c:bar3DChart>
      <c:catAx>
        <c:axId val="20578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582904"/>
        <c:crosses val="autoZero"/>
        <c:auto val="1"/>
        <c:lblAlgn val="ctr"/>
        <c:lblOffset val="100"/>
        <c:noMultiLvlLbl val="0"/>
      </c:catAx>
      <c:valAx>
        <c:axId val="205582904"/>
        <c:scaling>
          <c:orientation val="minMax"/>
          <c:min val="100000"/>
        </c:scaling>
        <c:delete val="1"/>
        <c:axPos val="l"/>
        <c:numFmt formatCode="_(&quot;$&quot;\ * #,##0_);_(&quot;$&quot;\ * \(#,##0\);_(&quot;$&quot;\ * &quot;-&quot;??_);_(@_)" sourceLinked="1"/>
        <c:majorTickMark val="none"/>
        <c:minorTickMark val="none"/>
        <c:tickLblPos val="nextTo"/>
        <c:crossAx val="20578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191722604142863"/>
          <c:y val="4.0763706620005932E-2"/>
          <c:w val="0.77579575280363211"/>
          <c:h val="0.684468139399241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'Anexo 5-2 Gastos'!$K$5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'Anexo 5-2 Gastos'!$J$6:$J$8</c:f>
              <c:strCache>
                <c:ptCount val="3"/>
                <c:pt idx="0">
                  <c:v>TOTAL GASTOS DE FUNCI.</c:v>
                </c:pt>
                <c:pt idx="1">
                  <c:v>TOTAL GASTOS DE INVER.</c:v>
                </c:pt>
                <c:pt idx="2">
                  <c:v>TOTAL PRESUPUESTO </c:v>
                </c:pt>
              </c:strCache>
            </c:strRef>
          </c:cat>
          <c:val>
            <c:numRef>
              <c:f>'Anexo 5-2 Gastos'!$K$6:$K$8</c:f>
              <c:numCache>
                <c:formatCode>[$$-240A]\ #,##0</c:formatCode>
                <c:ptCount val="3"/>
                <c:pt idx="0">
                  <c:v>8623171462</c:v>
                </c:pt>
                <c:pt idx="1">
                  <c:v>17077496926</c:v>
                </c:pt>
                <c:pt idx="2">
                  <c:v>25700668388</c:v>
                </c:pt>
              </c:numCache>
            </c:numRef>
          </c:val>
        </c:ser>
        <c:ser>
          <c:idx val="1"/>
          <c:order val="1"/>
          <c:tx>
            <c:strRef>
              <c:f>'Anexo 5-2 Gastos'!$L$5</c:f>
              <c:strCache>
                <c:ptCount val="1"/>
                <c:pt idx="0">
                  <c:v>COMPROMETIDO</c:v>
                </c:pt>
              </c:strCache>
            </c:strRef>
          </c:tx>
          <c:invertIfNegative val="0"/>
          <c:cat>
            <c:strRef>
              <c:f>'Anexo 5-2 Gastos'!$J$6:$J$8</c:f>
              <c:strCache>
                <c:ptCount val="3"/>
                <c:pt idx="0">
                  <c:v>TOTAL GASTOS DE FUNCI.</c:v>
                </c:pt>
                <c:pt idx="1">
                  <c:v>TOTAL GASTOS DE INVER.</c:v>
                </c:pt>
                <c:pt idx="2">
                  <c:v>TOTAL PRESUPUESTO </c:v>
                </c:pt>
              </c:strCache>
            </c:strRef>
          </c:cat>
          <c:val>
            <c:numRef>
              <c:f>'Anexo 5-2 Gastos'!$L$6:$L$8</c:f>
              <c:numCache>
                <c:formatCode>[$$-240A]\ #,##0</c:formatCode>
                <c:ptCount val="3"/>
                <c:pt idx="0">
                  <c:v>8199639957.5699997</c:v>
                </c:pt>
                <c:pt idx="1">
                  <c:v>15341507768.01</c:v>
                </c:pt>
                <c:pt idx="2">
                  <c:v>23541147725.580002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5883656"/>
        <c:axId val="205890184"/>
        <c:axId val="0"/>
      </c:bar3DChart>
      <c:catAx>
        <c:axId val="2058836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crossAx val="205890184"/>
        <c:crosses val="autoZero"/>
        <c:auto val="1"/>
        <c:lblAlgn val="ctr"/>
        <c:lblOffset val="100"/>
        <c:noMultiLvlLbl val="0"/>
      </c:catAx>
      <c:valAx>
        <c:axId val="205890184"/>
        <c:scaling>
          <c:orientation val="minMax"/>
        </c:scaling>
        <c:delete val="0"/>
        <c:axPos val="l"/>
        <c:majorGridlines/>
        <c:numFmt formatCode="#,##0;[Red]#,##0" sourceLinked="0"/>
        <c:majorTickMark val="none"/>
        <c:minorTickMark val="none"/>
        <c:tickLblPos val="nextTo"/>
        <c:crossAx val="2058836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s-CO"/>
          </a:p>
        </c:txPr>
      </c:dTable>
    </c:plotArea>
    <c:plotVisOnly val="1"/>
    <c:dispBlanksAs val="gap"/>
    <c:showDLblsOverMax val="0"/>
  </c:chart>
  <c:txPr>
    <a:bodyPr/>
    <a:lstStyle/>
    <a:p>
      <a:pPr>
        <a:defRPr sz="1050"/>
      </a:pPr>
      <a:endParaRPr lang="es-CO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'Interpretacion de Resultados'!$B$4</c:f>
              <c:strCache>
                <c:ptCount val="1"/>
                <c:pt idx="0">
                  <c:v> $ 25.700.668.388,00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cat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98.001842050925902</c:v>
                </c:pt>
              </c:numCache>
            </c:numRef>
          </c:cat>
          <c:val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98.001842050925902</c:v>
                </c:pt>
              </c:numCache>
            </c:numRef>
          </c:val>
        </c:ser>
        <c:ser>
          <c:idx val="1"/>
          <c:order val="1"/>
          <c:tx>
            <c:strRef>
              <c:f>'Interpretacion de Resultados'!$D$4</c:f>
              <c:strCache>
                <c:ptCount val="1"/>
                <c:pt idx="0">
                  <c:v> $ 25.187.128.439,64 </c:v>
                </c:pt>
              </c:strCache>
            </c:strRef>
          </c:tx>
          <c:invertIfNegative val="0"/>
          <c:cat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98.001842050925902</c:v>
                </c:pt>
              </c:numCache>
            </c:numRef>
          </c:cat>
          <c:val>
            <c:numRef>
              <c:f>'Interpretacion de Resultados'!$E$8:$F$8</c:f>
              <c:numCache>
                <c:formatCode>_ * #,##0_ ;_ * \-#,##0_ ;_ * "-"??_ ;_ @_ 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5839176"/>
        <c:axId val="204868928"/>
        <c:axId val="0"/>
      </c:bar3DChart>
      <c:catAx>
        <c:axId val="205839176"/>
        <c:scaling>
          <c:orientation val="minMax"/>
        </c:scaling>
        <c:delete val="0"/>
        <c:axPos val="b"/>
        <c:numFmt formatCode="_ * #,##0_ ;_ * \-#,##0_ ;_ * &quot;-&quot;??_ ;_ @_ " sourceLinked="1"/>
        <c:majorTickMark val="out"/>
        <c:minorTickMark val="none"/>
        <c:tickLblPos val="nextTo"/>
        <c:crossAx val="204868928"/>
        <c:crosses val="autoZero"/>
        <c:auto val="1"/>
        <c:lblAlgn val="ctr"/>
        <c:lblOffset val="100"/>
        <c:noMultiLvlLbl val="0"/>
      </c:catAx>
      <c:valAx>
        <c:axId val="204868928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205839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21</xdr:row>
      <xdr:rowOff>123825</xdr:rowOff>
    </xdr:from>
    <xdr:to>
      <xdr:col>10</xdr:col>
      <xdr:colOff>1447800</xdr:colOff>
      <xdr:row>41</xdr:row>
      <xdr:rowOff>47625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5</xdr:row>
      <xdr:rowOff>19050</xdr:rowOff>
    </xdr:from>
    <xdr:to>
      <xdr:col>10</xdr:col>
      <xdr:colOff>914400</xdr:colOff>
      <xdr:row>20</xdr:row>
      <xdr:rowOff>9525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973964</xdr:colOff>
      <xdr:row>64</xdr:row>
      <xdr:rowOff>37027</xdr:rowOff>
    </xdr:from>
    <xdr:to>
      <xdr:col>11</xdr:col>
      <xdr:colOff>583573</xdr:colOff>
      <xdr:row>80</xdr:row>
      <xdr:rowOff>30051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925151</xdr:colOff>
      <xdr:row>69</xdr:row>
      <xdr:rowOff>14148</xdr:rowOff>
    </xdr:from>
    <xdr:to>
      <xdr:col>3</xdr:col>
      <xdr:colOff>1234478</xdr:colOff>
      <xdr:row>85</xdr:row>
      <xdr:rowOff>27162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10</xdr:row>
      <xdr:rowOff>85725</xdr:rowOff>
    </xdr:from>
    <xdr:to>
      <xdr:col>14</xdr:col>
      <xdr:colOff>714375</xdr:colOff>
      <xdr:row>30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9</xdr:row>
      <xdr:rowOff>9525</xdr:rowOff>
    </xdr:from>
    <xdr:to>
      <xdr:col>6</xdr:col>
      <xdr:colOff>685800</xdr:colOff>
      <xdr:row>26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AVANCE%20METAS%20%2030%2009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4. METAS DEL PLAN "/>
      <sheetName val="ANEXO 8  IND. MINIMOS "/>
      <sheetName val="ANEXO 7 FCO"/>
      <sheetName val="ANEXO 8 FES"/>
      <sheetName val="Hoja1"/>
    </sheetNames>
    <sheetDataSet>
      <sheetData sheetId="0">
        <row r="23">
          <cell r="O23">
            <v>400458378.54000002</v>
          </cell>
        </row>
        <row r="45">
          <cell r="O45">
            <v>5559486093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topLeftCell="A59" zoomScale="202" zoomScaleNormal="202" zoomScaleSheetLayoutView="115" workbookViewId="0">
      <selection activeCell="C63" sqref="C63"/>
    </sheetView>
  </sheetViews>
  <sheetFormatPr baseColWidth="10" defaultRowHeight="12.75"/>
  <cols>
    <col min="1" max="1" width="18" customWidth="1"/>
    <col min="2" max="2" width="26.5703125" customWidth="1"/>
    <col min="3" max="3" width="19.28515625" customWidth="1"/>
    <col min="4" max="4" width="18.7109375" customWidth="1"/>
    <col min="5" max="5" width="21.7109375" customWidth="1"/>
    <col min="6" max="6" width="17.7109375" customWidth="1"/>
    <col min="8" max="8" width="26.7109375" bestFit="1" customWidth="1"/>
    <col min="9" max="9" width="19.85546875" bestFit="1" customWidth="1"/>
    <col min="10" max="10" width="11.85546875" customWidth="1"/>
    <col min="11" max="11" width="23.7109375" bestFit="1" customWidth="1"/>
    <col min="12" max="12" width="11" customWidth="1"/>
  </cols>
  <sheetData>
    <row r="1" spans="1:12">
      <c r="A1" s="198" t="s">
        <v>57</v>
      </c>
      <c r="B1" s="198"/>
      <c r="C1" s="198"/>
      <c r="D1" s="198"/>
    </row>
    <row r="2" spans="1:12">
      <c r="A2" s="201" t="s">
        <v>58</v>
      </c>
      <c r="B2" s="201"/>
      <c r="C2" s="201"/>
      <c r="D2" s="201"/>
      <c r="E2" s="1"/>
      <c r="F2" s="1"/>
      <c r="G2" s="1"/>
    </row>
    <row r="3" spans="1:12">
      <c r="A3" s="201" t="s">
        <v>69</v>
      </c>
      <c r="B3" s="201"/>
      <c r="C3" s="201"/>
      <c r="D3" s="201"/>
      <c r="E3" s="1"/>
      <c r="F3" s="1"/>
      <c r="G3" s="1"/>
      <c r="H3" s="106" t="s">
        <v>76</v>
      </c>
      <c r="I3" s="106" t="s">
        <v>77</v>
      </c>
      <c r="J3" s="106"/>
    </row>
    <row r="4" spans="1:12">
      <c r="A4" s="201" t="s">
        <v>154</v>
      </c>
      <c r="B4" s="201"/>
      <c r="C4" s="201"/>
      <c r="D4" s="201"/>
      <c r="E4" s="2"/>
      <c r="F4" s="2"/>
      <c r="G4" s="2"/>
      <c r="H4" s="107">
        <f>I50</f>
        <v>25700668388</v>
      </c>
      <c r="I4" s="107">
        <f>D63</f>
        <v>25187128439.640003</v>
      </c>
      <c r="J4" s="107"/>
    </row>
    <row r="5" spans="1:12">
      <c r="A5" s="150" t="s">
        <v>134</v>
      </c>
      <c r="B5" s="74" t="s">
        <v>2</v>
      </c>
      <c r="C5" s="74" t="s">
        <v>61</v>
      </c>
      <c r="D5" s="74" t="s">
        <v>62</v>
      </c>
    </row>
    <row r="6" spans="1:12">
      <c r="A6" s="136" t="s">
        <v>118</v>
      </c>
      <c r="B6" s="12" t="s">
        <v>3</v>
      </c>
      <c r="C6" s="19">
        <f>C7+C37</f>
        <v>18974732003</v>
      </c>
      <c r="D6" s="19">
        <f>D7+D37</f>
        <v>17136511872.600002</v>
      </c>
      <c r="E6" s="80">
        <f>(D6/C6)</f>
        <v>0.90312273553537592</v>
      </c>
      <c r="I6" s="75"/>
      <c r="J6" s="75"/>
      <c r="K6" s="75"/>
      <c r="L6" s="80"/>
    </row>
    <row r="7" spans="1:12">
      <c r="A7" s="137" t="s">
        <v>119</v>
      </c>
      <c r="B7" s="13" t="s">
        <v>4</v>
      </c>
      <c r="C7" s="20">
        <f>C8+C12</f>
        <v>13237464210</v>
      </c>
      <c r="D7" s="20">
        <f>D8+D12</f>
        <v>12196737585.330002</v>
      </c>
      <c r="E7" s="80">
        <f>(D7/C7)</f>
        <v>0.92138021239114665</v>
      </c>
      <c r="I7" s="75"/>
      <c r="J7" s="75"/>
      <c r="K7" s="75"/>
      <c r="L7" s="80"/>
    </row>
    <row r="8" spans="1:12">
      <c r="A8" s="138" t="s">
        <v>120</v>
      </c>
      <c r="B8" s="14" t="s">
        <v>5</v>
      </c>
      <c r="C8" s="21">
        <f>SUM(C9:C11)</f>
        <v>2535000000</v>
      </c>
      <c r="D8" s="21">
        <f>SUM(D9:D11)</f>
        <v>2507089065</v>
      </c>
      <c r="E8" s="80">
        <f>(D8/C8)</f>
        <v>0.9889897692307692</v>
      </c>
      <c r="I8" s="75"/>
      <c r="J8" s="75"/>
      <c r="K8" s="75"/>
      <c r="L8" s="80"/>
    </row>
    <row r="9" spans="1:12">
      <c r="A9" s="139"/>
      <c r="B9" s="15" t="s">
        <v>6</v>
      </c>
      <c r="C9" s="25">
        <v>0</v>
      </c>
      <c r="D9" s="25"/>
    </row>
    <row r="10" spans="1:12">
      <c r="A10" s="135" t="s">
        <v>106</v>
      </c>
      <c r="B10" s="15" t="s">
        <v>60</v>
      </c>
      <c r="C10" s="25">
        <v>2535000000</v>
      </c>
      <c r="D10" s="25">
        <v>2507089065</v>
      </c>
    </row>
    <row r="11" spans="1:12">
      <c r="A11" s="135"/>
      <c r="B11" s="15" t="s">
        <v>7</v>
      </c>
      <c r="C11" s="25">
        <v>0</v>
      </c>
      <c r="D11" s="25"/>
    </row>
    <row r="12" spans="1:12">
      <c r="A12" s="140" t="s">
        <v>107</v>
      </c>
      <c r="B12" s="14" t="s">
        <v>8</v>
      </c>
      <c r="C12" s="21">
        <f>C19+C23+C31+C33</f>
        <v>10702464210</v>
      </c>
      <c r="D12" s="21">
        <f>D19+D23+D31+D33</f>
        <v>9689648520.3300018</v>
      </c>
      <c r="E12" s="80">
        <f>(D12/C12)</f>
        <v>0.90536612225027024</v>
      </c>
    </row>
    <row r="13" spans="1:12">
      <c r="A13" s="135"/>
      <c r="B13" s="16" t="s">
        <v>9</v>
      </c>
      <c r="C13" s="22">
        <f>SUM(C14:C15)</f>
        <v>0</v>
      </c>
      <c r="D13" s="22">
        <f>SUM(D14:D15)</f>
        <v>0</v>
      </c>
    </row>
    <row r="14" spans="1:12">
      <c r="A14" s="135"/>
      <c r="B14" s="15" t="s">
        <v>9</v>
      </c>
      <c r="C14" s="25">
        <v>0</v>
      </c>
      <c r="D14" s="25"/>
    </row>
    <row r="15" spans="1:12" ht="12.75" customHeight="1">
      <c r="A15" s="135"/>
      <c r="B15" s="59" t="s">
        <v>66</v>
      </c>
      <c r="C15" s="25">
        <v>0</v>
      </c>
      <c r="D15" s="25">
        <v>0</v>
      </c>
    </row>
    <row r="16" spans="1:12">
      <c r="A16" s="135"/>
      <c r="B16" s="16" t="s">
        <v>11</v>
      </c>
      <c r="C16" s="26">
        <v>0</v>
      </c>
      <c r="D16" s="26"/>
    </row>
    <row r="17" spans="1:12">
      <c r="A17" s="135"/>
      <c r="B17" s="16" t="s">
        <v>12</v>
      </c>
      <c r="C17" s="26">
        <v>0</v>
      </c>
      <c r="D17" s="26"/>
      <c r="E17">
        <v>4513200000</v>
      </c>
    </row>
    <row r="18" spans="1:12">
      <c r="A18" s="135"/>
      <c r="B18" s="16" t="s">
        <v>13</v>
      </c>
      <c r="C18" s="26">
        <v>0</v>
      </c>
      <c r="D18" s="26"/>
      <c r="E18" s="132">
        <f>C12-E17</f>
        <v>6189264210</v>
      </c>
    </row>
    <row r="19" spans="1:12">
      <c r="A19" s="135"/>
      <c r="B19" s="16" t="s">
        <v>14</v>
      </c>
      <c r="C19" s="22">
        <f>SUM(C20:C22)</f>
        <v>8238400000</v>
      </c>
      <c r="D19" s="26">
        <f>SUM(D20:D22)</f>
        <v>7180301599</v>
      </c>
    </row>
    <row r="20" spans="1:12">
      <c r="A20" s="135" t="s">
        <v>123</v>
      </c>
      <c r="B20" s="15" t="s">
        <v>15</v>
      </c>
      <c r="C20" s="126">
        <v>2800000000</v>
      </c>
      <c r="D20" s="25">
        <v>2031781599</v>
      </c>
    </row>
    <row r="21" spans="1:12">
      <c r="A21" s="135" t="s">
        <v>133</v>
      </c>
      <c r="B21" s="15" t="s">
        <v>68</v>
      </c>
      <c r="C21" s="25">
        <v>5438400000</v>
      </c>
      <c r="D21" s="25">
        <v>5148520000</v>
      </c>
      <c r="E21" s="122">
        <f>5438400000-C21</f>
        <v>0</v>
      </c>
    </row>
    <row r="22" spans="1:12">
      <c r="A22" s="135"/>
      <c r="B22" s="15" t="s">
        <v>16</v>
      </c>
      <c r="C22" s="25">
        <v>0</v>
      </c>
      <c r="D22" s="25"/>
    </row>
    <row r="23" spans="1:12">
      <c r="A23" s="135" t="s">
        <v>108</v>
      </c>
      <c r="B23" s="16" t="s">
        <v>101</v>
      </c>
      <c r="C23" s="22">
        <f>SUM(C24:C30)</f>
        <v>1938064210</v>
      </c>
      <c r="D23" s="22">
        <f>SUM(D24:D30)</f>
        <v>2280961363.1300001</v>
      </c>
    </row>
    <row r="24" spans="1:12">
      <c r="A24" s="135" t="s">
        <v>109</v>
      </c>
      <c r="B24" s="15" t="s">
        <v>71</v>
      </c>
      <c r="C24" s="25">
        <v>246000000</v>
      </c>
      <c r="D24" s="25">
        <v>183179386</v>
      </c>
      <c r="E24" s="98">
        <f>D24/C24</f>
        <v>0.74463165040650403</v>
      </c>
      <c r="F24" s="132">
        <f>826870760-D12</f>
        <v>-8862777760.3300018</v>
      </c>
    </row>
    <row r="25" spans="1:12">
      <c r="A25" s="135"/>
      <c r="B25" s="15" t="s">
        <v>18</v>
      </c>
      <c r="C25" s="25"/>
      <c r="D25" s="25">
        <v>0</v>
      </c>
    </row>
    <row r="26" spans="1:12">
      <c r="A26" s="135" t="s">
        <v>121</v>
      </c>
      <c r="B26" s="15" t="s">
        <v>19</v>
      </c>
      <c r="C26" s="25">
        <v>100000000</v>
      </c>
      <c r="D26" s="25">
        <v>255564777</v>
      </c>
      <c r="E26" s="98">
        <f>D26/C26</f>
        <v>2.5556477700000002</v>
      </c>
    </row>
    <row r="27" spans="1:12">
      <c r="A27" s="135" t="s">
        <v>110</v>
      </c>
      <c r="B27" s="15" t="s">
        <v>64</v>
      </c>
      <c r="C27" s="25">
        <v>0</v>
      </c>
      <c r="D27" s="25"/>
      <c r="E27" s="98"/>
    </row>
    <row r="28" spans="1:12">
      <c r="A28" s="135" t="s">
        <v>111</v>
      </c>
      <c r="B28" s="134" t="s">
        <v>10</v>
      </c>
      <c r="C28" s="25">
        <v>313000000</v>
      </c>
      <c r="D28" s="25">
        <v>452214031.13</v>
      </c>
      <c r="E28" s="196">
        <f>1059063210-C29</f>
        <v>-1000</v>
      </c>
    </row>
    <row r="29" spans="1:12">
      <c r="A29" s="141" t="s">
        <v>122</v>
      </c>
      <c r="B29" s="95" t="s">
        <v>114</v>
      </c>
      <c r="C29" s="96">
        <v>1059064210</v>
      </c>
      <c r="D29" s="96">
        <v>1387132352</v>
      </c>
      <c r="E29" s="98">
        <f>D29/C29</f>
        <v>1.3097717200735166</v>
      </c>
      <c r="G29" s="98"/>
    </row>
    <row r="30" spans="1:12">
      <c r="A30" s="135"/>
      <c r="B30" s="95" t="s">
        <v>115</v>
      </c>
      <c r="C30" s="96">
        <v>220000000</v>
      </c>
      <c r="D30" s="96">
        <v>2870817</v>
      </c>
      <c r="E30" s="123">
        <f>105906321000-C29</f>
        <v>104847256790</v>
      </c>
      <c r="G30" s="98"/>
    </row>
    <row r="31" spans="1:12">
      <c r="A31" s="135" t="s">
        <v>128</v>
      </c>
      <c r="B31" s="16" t="s">
        <v>102</v>
      </c>
      <c r="C31" s="26">
        <f>C32</f>
        <v>300000000</v>
      </c>
      <c r="D31" s="26">
        <f>D32</f>
        <v>158406108.19999999</v>
      </c>
      <c r="E31" s="98"/>
      <c r="I31" s="99"/>
      <c r="J31" s="99"/>
      <c r="K31" s="99"/>
      <c r="L31" s="99"/>
    </row>
    <row r="32" spans="1:12" ht="22.5">
      <c r="A32" s="141" t="s">
        <v>112</v>
      </c>
      <c r="B32" s="59" t="s">
        <v>65</v>
      </c>
      <c r="C32" s="25">
        <v>300000000</v>
      </c>
      <c r="D32" s="25">
        <v>158406108.19999999</v>
      </c>
      <c r="E32" s="98">
        <f>D32/C32</f>
        <v>0.52802036066666658</v>
      </c>
      <c r="H32" s="99"/>
    </row>
    <row r="33" spans="1:12">
      <c r="A33" s="135" t="s">
        <v>113</v>
      </c>
      <c r="B33" s="16" t="s">
        <v>17</v>
      </c>
      <c r="C33" s="120">
        <f>C34+C36</f>
        <v>226000000</v>
      </c>
      <c r="D33" s="26">
        <f>D34+D35+D36</f>
        <v>69979450</v>
      </c>
      <c r="H33" s="99"/>
    </row>
    <row r="34" spans="1:12">
      <c r="A34" s="135" t="s">
        <v>129</v>
      </c>
      <c r="B34" s="15" t="s">
        <v>67</v>
      </c>
      <c r="C34" s="119">
        <v>216000000</v>
      </c>
      <c r="D34" s="25">
        <v>53793356</v>
      </c>
      <c r="H34" s="99"/>
    </row>
    <row r="35" spans="1:12" ht="22.5">
      <c r="A35" s="135" t="s">
        <v>135</v>
      </c>
      <c r="B35" s="59" t="s">
        <v>132</v>
      </c>
      <c r="C35" s="119">
        <v>0</v>
      </c>
      <c r="D35" s="133">
        <v>11690294</v>
      </c>
      <c r="H35" s="99"/>
    </row>
    <row r="36" spans="1:12">
      <c r="A36" s="135" t="s">
        <v>136</v>
      </c>
      <c r="B36" s="15" t="s">
        <v>17</v>
      </c>
      <c r="C36" s="119">
        <v>10000000</v>
      </c>
      <c r="D36" s="25">
        <v>4495800</v>
      </c>
      <c r="H36" s="99"/>
    </row>
    <row r="37" spans="1:12">
      <c r="A37" s="142" t="s">
        <v>103</v>
      </c>
      <c r="B37" s="86" t="s">
        <v>20</v>
      </c>
      <c r="C37" s="87">
        <f>+C38+C41+C44+C55+C47+C51</f>
        <v>5737267793</v>
      </c>
      <c r="D37" s="87">
        <f>+D38+D41+D44+D55+D47+D51</f>
        <v>4939774287.2700005</v>
      </c>
      <c r="E37" s="80">
        <f>(D37/C37)</f>
        <v>0.86099768487310013</v>
      </c>
      <c r="H37" s="99"/>
      <c r="I37" s="100"/>
      <c r="J37" s="100"/>
      <c r="K37" s="100"/>
      <c r="L37" s="100"/>
    </row>
    <row r="38" spans="1:12">
      <c r="A38" s="143"/>
      <c r="B38" s="17" t="s">
        <v>21</v>
      </c>
      <c r="C38" s="23">
        <f>SUM(C39:C40)</f>
        <v>0</v>
      </c>
      <c r="D38" s="23">
        <f>SUM(D39:D40)</f>
        <v>0</v>
      </c>
    </row>
    <row r="39" spans="1:12">
      <c r="A39" s="143"/>
      <c r="B39" s="15" t="s">
        <v>22</v>
      </c>
      <c r="C39" s="25">
        <v>0</v>
      </c>
      <c r="D39" s="25"/>
    </row>
    <row r="40" spans="1:12">
      <c r="A40" s="135"/>
      <c r="B40" s="15" t="s">
        <v>23</v>
      </c>
      <c r="C40" s="25">
        <v>0</v>
      </c>
      <c r="D40" s="25"/>
    </row>
    <row r="41" spans="1:12">
      <c r="A41" s="143"/>
      <c r="B41" s="17" t="s">
        <v>24</v>
      </c>
      <c r="C41" s="23">
        <f>SUM(C42:C43)</f>
        <v>0</v>
      </c>
      <c r="D41" s="23">
        <f>SUM(D42:D43)</f>
        <v>0</v>
      </c>
    </row>
    <row r="42" spans="1:12">
      <c r="A42" s="143"/>
      <c r="B42" s="15" t="s">
        <v>22</v>
      </c>
      <c r="C42" s="25">
        <v>0</v>
      </c>
      <c r="D42" s="25"/>
    </row>
    <row r="43" spans="1:12">
      <c r="A43" s="135"/>
      <c r="B43" s="15" t="s">
        <v>23</v>
      </c>
      <c r="C43" s="25">
        <v>0</v>
      </c>
      <c r="D43" s="25"/>
      <c r="H43" s="104"/>
      <c r="I43" s="105" t="s">
        <v>61</v>
      </c>
      <c r="J43" s="105" t="s">
        <v>98</v>
      </c>
      <c r="K43" s="105" t="s">
        <v>62</v>
      </c>
      <c r="L43" s="105" t="s">
        <v>98</v>
      </c>
    </row>
    <row r="44" spans="1:12">
      <c r="A44" s="135" t="s">
        <v>104</v>
      </c>
      <c r="B44" s="76" t="s">
        <v>25</v>
      </c>
      <c r="C44" s="77">
        <v>66450000</v>
      </c>
      <c r="D44" s="77">
        <v>69452931.269999996</v>
      </c>
      <c r="H44" s="101" t="s">
        <v>3</v>
      </c>
      <c r="I44" s="103">
        <f>C6</f>
        <v>18974732003</v>
      </c>
      <c r="J44" s="114">
        <f>I44/I50*100</f>
        <v>73.829721922172126</v>
      </c>
      <c r="K44" s="103">
        <f>D6</f>
        <v>17136511872.600002</v>
      </c>
      <c r="L44" s="121">
        <f>K44/K50</f>
        <v>0.68036782810184182</v>
      </c>
    </row>
    <row r="45" spans="1:12">
      <c r="A45" s="144" t="s">
        <v>124</v>
      </c>
      <c r="B45" s="17" t="s">
        <v>26</v>
      </c>
      <c r="C45" s="23">
        <f>C46+C47+C48+C49+C50+C523+C51</f>
        <v>5670817793</v>
      </c>
      <c r="D45" s="23">
        <f>D46+D47+D48+D49+D50+D523+D51</f>
        <v>4870321356</v>
      </c>
      <c r="H45" s="101" t="s">
        <v>4</v>
      </c>
      <c r="I45" s="103">
        <f>C7</f>
        <v>13237464210</v>
      </c>
      <c r="J45" s="114">
        <f>I45/I44*100</f>
        <v>69.763642553197016</v>
      </c>
      <c r="K45" s="103">
        <f>D7</f>
        <v>12196737585.330002</v>
      </c>
      <c r="L45" s="121">
        <f>K45/K44</f>
        <v>0.71173980305943541</v>
      </c>
    </row>
    <row r="46" spans="1:12">
      <c r="A46" s="143"/>
      <c r="B46" s="15" t="s">
        <v>27</v>
      </c>
      <c r="C46" s="45">
        <v>0</v>
      </c>
      <c r="D46" s="45"/>
      <c r="E46" s="132">
        <f>5737267793-C37</f>
        <v>0</v>
      </c>
      <c r="H46" s="101" t="s">
        <v>5</v>
      </c>
      <c r="I46" s="103">
        <v>2300000000</v>
      </c>
      <c r="J46" s="114">
        <f>I46/I45*100</f>
        <v>17.374928940412222</v>
      </c>
      <c r="K46" s="103">
        <f>D8</f>
        <v>2507089065</v>
      </c>
      <c r="L46" s="121">
        <f>K46/K45</f>
        <v>0.20555407111615467</v>
      </c>
    </row>
    <row r="47" spans="1:12">
      <c r="A47" s="143"/>
      <c r="B47" s="15" t="s">
        <v>28</v>
      </c>
      <c r="C47" s="45">
        <f>0+3755217793</f>
        <v>3755217793</v>
      </c>
      <c r="D47" s="45">
        <v>3755217793</v>
      </c>
      <c r="H47" s="101" t="s">
        <v>8</v>
      </c>
      <c r="I47" s="103">
        <f>C12</f>
        <v>10702464210</v>
      </c>
      <c r="J47" s="114">
        <f>I47/I45*100</f>
        <v>80.849806580893485</v>
      </c>
      <c r="K47" s="103">
        <f>D12</f>
        <v>9689648520.3300018</v>
      </c>
      <c r="L47" s="121">
        <f>K47/K45</f>
        <v>0.79444592888384535</v>
      </c>
    </row>
    <row r="48" spans="1:12">
      <c r="A48" s="143"/>
      <c r="B48" s="15" t="s">
        <v>29</v>
      </c>
      <c r="C48" s="45">
        <v>0</v>
      </c>
      <c r="D48" s="45"/>
      <c r="H48" s="101" t="s">
        <v>20</v>
      </c>
      <c r="I48" s="103">
        <f>C37</f>
        <v>5737267793</v>
      </c>
      <c r="J48" s="115">
        <f>I48/I44*100</f>
        <v>30.236357446802987</v>
      </c>
      <c r="K48" s="103">
        <f>D37</f>
        <v>4939774287.2700005</v>
      </c>
      <c r="L48" s="121">
        <f>K48/K44</f>
        <v>0.28826019694056459</v>
      </c>
    </row>
    <row r="49" spans="1:12">
      <c r="A49" s="143"/>
      <c r="B49" s="15" t="s">
        <v>30</v>
      </c>
      <c r="C49" s="45">
        <v>0</v>
      </c>
      <c r="D49" s="45"/>
      <c r="H49" s="102" t="s">
        <v>33</v>
      </c>
      <c r="I49" s="103">
        <f>C56</f>
        <v>6725936385</v>
      </c>
      <c r="J49" s="114">
        <f>I49/I50*100</f>
        <v>26.170278077827863</v>
      </c>
      <c r="K49" s="103">
        <f>D56</f>
        <v>8050616567.04</v>
      </c>
      <c r="L49" s="121">
        <f>K49/K50</f>
        <v>0.31963217189815807</v>
      </c>
    </row>
    <row r="50" spans="1:12">
      <c r="A50" s="135"/>
      <c r="B50" s="15" t="s">
        <v>31</v>
      </c>
      <c r="C50" s="45">
        <v>0</v>
      </c>
      <c r="D50" s="45"/>
      <c r="H50" s="102" t="s">
        <v>35</v>
      </c>
      <c r="I50" s="103">
        <f>C63</f>
        <v>25700668388</v>
      </c>
      <c r="J50" s="103">
        <f>J44+J49</f>
        <v>99.999999999999986</v>
      </c>
      <c r="K50" s="103">
        <f>K44+K49</f>
        <v>25187128439.640003</v>
      </c>
      <c r="L50" s="121">
        <f>K50/I50*100</f>
        <v>98.001842050925902</v>
      </c>
    </row>
    <row r="51" spans="1:12">
      <c r="A51" s="145" t="s">
        <v>124</v>
      </c>
      <c r="B51" s="76" t="s">
        <v>116</v>
      </c>
      <c r="C51" s="131">
        <f>SUM(C52:C54)</f>
        <v>1915600000</v>
      </c>
      <c r="D51" s="131">
        <f>SUM(D52:D54)</f>
        <v>1115103563</v>
      </c>
      <c r="H51" s="128"/>
      <c r="I51" s="129"/>
      <c r="J51" s="129"/>
      <c r="K51" s="129"/>
      <c r="L51" s="130"/>
    </row>
    <row r="52" spans="1:12" ht="22.5">
      <c r="A52" s="146" t="s">
        <v>126</v>
      </c>
      <c r="B52" s="59" t="s">
        <v>117</v>
      </c>
      <c r="C52" s="45">
        <v>795600000</v>
      </c>
      <c r="D52" s="45">
        <v>185447885</v>
      </c>
      <c r="H52" s="128"/>
      <c r="I52" s="129"/>
      <c r="J52" s="129"/>
      <c r="K52" s="129"/>
      <c r="L52" s="130"/>
    </row>
    <row r="53" spans="1:12">
      <c r="A53" s="146" t="s">
        <v>125</v>
      </c>
      <c r="B53" s="15" t="s">
        <v>160</v>
      </c>
      <c r="C53" s="45">
        <v>1000000000</v>
      </c>
      <c r="D53" s="45">
        <v>927752942</v>
      </c>
      <c r="I53" s="105" t="s">
        <v>62</v>
      </c>
      <c r="J53" s="129"/>
      <c r="K53" s="129"/>
      <c r="L53" s="130"/>
    </row>
    <row r="54" spans="1:12" ht="22.5">
      <c r="A54" s="147" t="s">
        <v>131</v>
      </c>
      <c r="B54" s="59" t="s">
        <v>130</v>
      </c>
      <c r="C54" s="45">
        <v>120000000</v>
      </c>
      <c r="D54" s="45">
        <v>1902736</v>
      </c>
      <c r="H54" s="104"/>
      <c r="J54" s="129"/>
      <c r="K54" s="129"/>
      <c r="L54" s="130"/>
    </row>
    <row r="55" spans="1:12" ht="13.5" thickBot="1">
      <c r="A55" s="147"/>
      <c r="B55" s="17" t="s">
        <v>32</v>
      </c>
      <c r="C55" s="60">
        <v>0</v>
      </c>
      <c r="D55" s="60"/>
      <c r="H55" s="101" t="s">
        <v>3</v>
      </c>
      <c r="I55" s="156">
        <f>L44</f>
        <v>0.68036782810184182</v>
      </c>
      <c r="J55" s="158"/>
    </row>
    <row r="56" spans="1:12" ht="13.5" thickBot="1">
      <c r="A56" s="148" t="s">
        <v>105</v>
      </c>
      <c r="B56" s="18" t="s">
        <v>33</v>
      </c>
      <c r="C56" s="24">
        <f>SUM(C57:C60)</f>
        <v>6725936385</v>
      </c>
      <c r="D56" s="24">
        <f>SUM(D57:D62)</f>
        <v>8050616567.04</v>
      </c>
      <c r="E56" s="80">
        <f>(D56/C56)</f>
        <v>1.1969510423848591</v>
      </c>
      <c r="H56" s="101" t="s">
        <v>4</v>
      </c>
      <c r="I56" s="156"/>
      <c r="J56" s="155">
        <f>L45</f>
        <v>0.71173980305943541</v>
      </c>
    </row>
    <row r="57" spans="1:12">
      <c r="A57" s="149" t="s">
        <v>127</v>
      </c>
      <c r="B57" s="151" t="s">
        <v>34</v>
      </c>
      <c r="C57" s="153">
        <v>2960749000</v>
      </c>
      <c r="D57" s="153">
        <v>2910786302</v>
      </c>
      <c r="H57" s="101" t="s">
        <v>20</v>
      </c>
      <c r="I57" s="157"/>
      <c r="J57" s="158"/>
    </row>
    <row r="58" spans="1:12">
      <c r="A58" s="149"/>
      <c r="B58" s="152" t="s">
        <v>137</v>
      </c>
      <c r="C58" s="154">
        <v>1080365385</v>
      </c>
      <c r="D58" s="154">
        <v>1042155270</v>
      </c>
      <c r="H58" s="102" t="s">
        <v>33</v>
      </c>
      <c r="I58" s="157">
        <f>L49</f>
        <v>0.31963217189815807</v>
      </c>
      <c r="J58" s="158"/>
    </row>
    <row r="59" spans="1:12">
      <c r="A59" s="194"/>
      <c r="B59" s="195" t="s">
        <v>139</v>
      </c>
      <c r="C59" s="154">
        <v>2484822000</v>
      </c>
      <c r="D59" s="154">
        <v>353059000</v>
      </c>
      <c r="H59" s="102" t="s">
        <v>35</v>
      </c>
      <c r="I59" s="98">
        <f>I55+I58</f>
        <v>0.99999999999999989</v>
      </c>
      <c r="J59" s="158"/>
    </row>
    <row r="60" spans="1:12">
      <c r="A60" s="194"/>
      <c r="B60" s="195" t="s">
        <v>149</v>
      </c>
      <c r="C60" s="154">
        <v>200000000</v>
      </c>
      <c r="D60" s="154"/>
      <c r="H60" s="128"/>
      <c r="I60" s="98"/>
      <c r="J60" s="189"/>
    </row>
    <row r="61" spans="1:12">
      <c r="A61" s="194" t="s">
        <v>158</v>
      </c>
      <c r="B61" s="195" t="s">
        <v>156</v>
      </c>
      <c r="C61" s="154">
        <v>0</v>
      </c>
      <c r="D61" s="154">
        <v>1138922131.04</v>
      </c>
      <c r="H61" s="128"/>
      <c r="I61" s="98"/>
      <c r="J61" s="189"/>
    </row>
    <row r="62" spans="1:12">
      <c r="A62" s="194" t="s">
        <v>159</v>
      </c>
      <c r="B62" s="195" t="s">
        <v>157</v>
      </c>
      <c r="C62" s="154"/>
      <c r="D62" s="154">
        <v>2605693864</v>
      </c>
      <c r="H62" s="128"/>
      <c r="I62" s="98"/>
      <c r="J62" s="189"/>
    </row>
    <row r="63" spans="1:12" ht="13.5" thickBot="1">
      <c r="A63" s="190"/>
      <c r="B63" s="191" t="s">
        <v>35</v>
      </c>
      <c r="C63" s="192">
        <f>+C6+C56</f>
        <v>25700668388</v>
      </c>
      <c r="D63" s="193">
        <f>+D6+D56</f>
        <v>25187128439.640003</v>
      </c>
      <c r="E63" s="80">
        <f>D63/C63</f>
        <v>0.98001842050925903</v>
      </c>
    </row>
    <row r="64" spans="1:12" ht="13.5" customHeight="1">
      <c r="A64" s="199"/>
      <c r="B64" s="199"/>
      <c r="C64" s="199"/>
      <c r="D64" s="199"/>
      <c r="F64" s="80"/>
    </row>
    <row r="65" spans="1:8" ht="13.5" customHeight="1">
      <c r="A65" s="200"/>
      <c r="B65" s="200"/>
      <c r="C65" s="200"/>
      <c r="D65" s="200"/>
      <c r="H65" s="75"/>
    </row>
    <row r="66" spans="1:8">
      <c r="A66" s="2"/>
      <c r="B66" s="2"/>
      <c r="C66" s="2"/>
      <c r="D66" s="2"/>
    </row>
    <row r="67" spans="1:8">
      <c r="A67" s="2" t="str">
        <f>C5</f>
        <v>APROPIADO</v>
      </c>
      <c r="B67" s="197">
        <f>C63</f>
        <v>25700668388</v>
      </c>
      <c r="C67" s="125"/>
      <c r="D67" s="2"/>
    </row>
    <row r="68" spans="1:8">
      <c r="A68" s="2" t="str">
        <f>D5</f>
        <v>RECAUDADO</v>
      </c>
      <c r="B68" s="197">
        <f>D63</f>
        <v>25187128439.640003</v>
      </c>
      <c r="C68" s="125"/>
      <c r="D68" s="125"/>
      <c r="E68" s="123"/>
    </row>
    <row r="69" spans="1:8">
      <c r="A69" s="2"/>
      <c r="B69" s="2"/>
      <c r="C69" s="2"/>
      <c r="D69" s="2"/>
    </row>
    <row r="70" spans="1:8" ht="25.5">
      <c r="A70" s="2"/>
      <c r="B70" s="2"/>
      <c r="C70" s="2"/>
      <c r="D70" s="127"/>
    </row>
    <row r="71" spans="1:8">
      <c r="A71" s="2"/>
      <c r="B71" s="2"/>
      <c r="C71" s="2"/>
      <c r="D71" s="2"/>
    </row>
  </sheetData>
  <mergeCells count="6">
    <mergeCell ref="A1:D1"/>
    <mergeCell ref="A64:D64"/>
    <mergeCell ref="A65:D65"/>
    <mergeCell ref="A2:D2"/>
    <mergeCell ref="A3:D3"/>
    <mergeCell ref="A4:D4"/>
  </mergeCells>
  <phoneticPr fontId="9" type="noConversion"/>
  <printOptions horizontalCentered="1" verticalCentered="1"/>
  <pageMargins left="0.98425196850393704" right="0.98425196850393704" top="0.98425196850393704" bottom="0.98425196850393704" header="0" footer="0"/>
  <pageSetup paperSize="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topLeftCell="A30" zoomScale="93" zoomScaleNormal="93" zoomScaleSheetLayoutView="100" workbookViewId="0">
      <selection activeCell="F49" sqref="F49"/>
    </sheetView>
  </sheetViews>
  <sheetFormatPr baseColWidth="10" defaultRowHeight="12.75"/>
  <cols>
    <col min="1" max="1" width="42" customWidth="1"/>
    <col min="2" max="2" width="17.140625" customWidth="1"/>
    <col min="3" max="3" width="18.28515625" customWidth="1"/>
    <col min="4" max="4" width="20.28515625" customWidth="1"/>
    <col min="5" max="5" width="19.140625" customWidth="1"/>
    <col min="6" max="6" width="19.42578125" customWidth="1"/>
    <col min="7" max="7" width="17.85546875" customWidth="1"/>
    <col min="9" max="9" width="20.7109375" customWidth="1"/>
    <col min="10" max="10" width="23.5703125" customWidth="1"/>
    <col min="11" max="11" width="25.85546875" customWidth="1"/>
    <col min="12" max="12" width="17.42578125" customWidth="1"/>
    <col min="13" max="13" width="19.5703125" customWidth="1"/>
  </cols>
  <sheetData>
    <row r="1" spans="1:13" ht="13.5" thickBot="1">
      <c r="A1" s="202" t="s">
        <v>56</v>
      </c>
      <c r="B1" s="202"/>
      <c r="C1" s="202"/>
      <c r="D1" s="202"/>
      <c r="E1" s="202"/>
      <c r="F1" s="202"/>
      <c r="G1" s="202"/>
    </row>
    <row r="2" spans="1:13">
      <c r="A2" s="204" t="s">
        <v>1</v>
      </c>
      <c r="B2" s="205"/>
      <c r="C2" s="205"/>
      <c r="D2" s="205"/>
      <c r="E2" s="205"/>
      <c r="F2" s="205"/>
      <c r="G2" s="206"/>
    </row>
    <row r="3" spans="1:13">
      <c r="A3" s="207" t="s">
        <v>69</v>
      </c>
      <c r="B3" s="201"/>
      <c r="C3" s="201"/>
      <c r="D3" s="201"/>
      <c r="E3" s="201"/>
      <c r="F3" s="201"/>
      <c r="G3" s="208"/>
    </row>
    <row r="4" spans="1:13" ht="13.5" thickBot="1">
      <c r="A4" s="3" t="s">
        <v>147</v>
      </c>
      <c r="B4" s="4"/>
      <c r="C4" s="97">
        <v>42369</v>
      </c>
      <c r="D4" s="4"/>
      <c r="E4" s="4"/>
      <c r="F4" s="4"/>
      <c r="G4" s="5"/>
    </row>
    <row r="5" spans="1:13" ht="33" customHeight="1" thickBot="1">
      <c r="A5" s="215" t="s">
        <v>36</v>
      </c>
      <c r="B5" s="209" t="s">
        <v>37</v>
      </c>
      <c r="C5" s="210"/>
      <c r="D5" s="211" t="s">
        <v>38</v>
      </c>
      <c r="E5" s="212"/>
      <c r="F5" s="213" t="s">
        <v>39</v>
      </c>
      <c r="G5" s="214"/>
      <c r="K5" s="169" t="s">
        <v>0</v>
      </c>
      <c r="L5" s="169" t="s">
        <v>63</v>
      </c>
      <c r="M5" s="170" t="s">
        <v>98</v>
      </c>
    </row>
    <row r="6" spans="1:13" ht="21.75" customHeight="1" thickBot="1">
      <c r="A6" s="216"/>
      <c r="B6" s="27" t="s">
        <v>0</v>
      </c>
      <c r="C6" s="28" t="s">
        <v>63</v>
      </c>
      <c r="D6" s="27" t="s">
        <v>0</v>
      </c>
      <c r="E6" s="28" t="s">
        <v>63</v>
      </c>
      <c r="F6" s="27" t="s">
        <v>0</v>
      </c>
      <c r="G6" s="28" t="s">
        <v>63</v>
      </c>
      <c r="J6" s="6" t="s">
        <v>74</v>
      </c>
      <c r="K6" s="166">
        <f>F23</f>
        <v>8623171462</v>
      </c>
      <c r="L6" s="166">
        <f>G23</f>
        <v>8199639957.5699997</v>
      </c>
      <c r="M6" s="121">
        <f>L6/K6*100</f>
        <v>95.088448533159877</v>
      </c>
    </row>
    <row r="7" spans="1:13" ht="13.5" thickBot="1">
      <c r="A7" s="6" t="s">
        <v>40</v>
      </c>
      <c r="B7" s="44">
        <v>874101586</v>
      </c>
      <c r="C7" s="44">
        <v>847253199.40999997</v>
      </c>
      <c r="D7" s="44">
        <v>2744754889</v>
      </c>
      <c r="E7" s="118">
        <v>2744754889</v>
      </c>
      <c r="F7" s="32">
        <f>+B7+D7</f>
        <v>3618856475</v>
      </c>
      <c r="G7" s="33">
        <f>+C7+E7</f>
        <v>3592008088.4099998</v>
      </c>
      <c r="I7" s="80"/>
      <c r="J7" s="167" t="s">
        <v>75</v>
      </c>
      <c r="K7" s="166">
        <f>F25</f>
        <v>17077496926</v>
      </c>
      <c r="L7" s="166">
        <f>G25</f>
        <v>15341507768.01</v>
      </c>
      <c r="M7" s="121">
        <f>L7/K7*100</f>
        <v>89.834639317972844</v>
      </c>
    </row>
    <row r="8" spans="1:13">
      <c r="A8" s="29" t="s">
        <v>41</v>
      </c>
      <c r="B8" s="34">
        <f>B9+B10</f>
        <v>2178330703</v>
      </c>
      <c r="C8" s="34">
        <f>C9+C10</f>
        <v>2052620426.8900001</v>
      </c>
      <c r="D8" s="34">
        <f t="shared" ref="D8:E8" si="0">D9+D10</f>
        <v>378560000</v>
      </c>
      <c r="E8" s="34">
        <f t="shared" si="0"/>
        <v>368861470</v>
      </c>
      <c r="F8" s="34">
        <f t="shared" ref="F8:F46" si="1">+B8+D8</f>
        <v>2556890703</v>
      </c>
      <c r="G8" s="35">
        <f t="shared" ref="G8:G48" si="2">+C8+E8</f>
        <v>2421481896.8900003</v>
      </c>
      <c r="J8" s="168" t="s">
        <v>73</v>
      </c>
      <c r="K8" s="166">
        <f>F49</f>
        <v>25700668388</v>
      </c>
      <c r="L8" s="166">
        <f>G49</f>
        <v>23541147725.580002</v>
      </c>
      <c r="M8" s="121">
        <f>L8/K8*100</f>
        <v>91.597414394762168</v>
      </c>
    </row>
    <row r="9" spans="1:13" ht="13.5">
      <c r="A9" s="7" t="s">
        <v>59</v>
      </c>
      <c r="B9" s="61">
        <v>2178330703</v>
      </c>
      <c r="C9" s="61">
        <v>2052620426.8900001</v>
      </c>
      <c r="D9" s="61">
        <v>327798000</v>
      </c>
      <c r="E9" s="61">
        <v>327798000</v>
      </c>
      <c r="F9" s="48">
        <f t="shared" si="1"/>
        <v>2506128703</v>
      </c>
      <c r="G9" s="37">
        <f t="shared" si="2"/>
        <v>2380418426.8900003</v>
      </c>
    </row>
    <row r="10" spans="1:13" ht="14.25" thickBot="1">
      <c r="A10" s="8" t="s">
        <v>42</v>
      </c>
      <c r="B10" s="61"/>
      <c r="C10" s="62">
        <v>0</v>
      </c>
      <c r="D10" s="61">
        <v>50762000</v>
      </c>
      <c r="E10" s="62">
        <v>41063470</v>
      </c>
      <c r="F10" s="51">
        <f t="shared" si="1"/>
        <v>50762000</v>
      </c>
      <c r="G10" s="39">
        <f t="shared" si="2"/>
        <v>41063470</v>
      </c>
    </row>
    <row r="11" spans="1:13">
      <c r="A11" s="29" t="s">
        <v>43</v>
      </c>
      <c r="B11" s="34">
        <f>+B12+B15+B18</f>
        <v>1529624788</v>
      </c>
      <c r="C11" s="34">
        <f>+C12+C15+C18</f>
        <v>1268351476.27</v>
      </c>
      <c r="D11" s="34">
        <f>+D12+D15+D18</f>
        <v>917799496</v>
      </c>
      <c r="E11" s="34">
        <f>+E12+E15+E18</f>
        <v>917798496</v>
      </c>
      <c r="F11" s="34">
        <f>+B11+D11</f>
        <v>2447424284</v>
      </c>
      <c r="G11" s="35">
        <f t="shared" si="2"/>
        <v>2186149972.27</v>
      </c>
    </row>
    <row r="12" spans="1:13">
      <c r="A12" s="9" t="s">
        <v>44</v>
      </c>
      <c r="B12" s="40">
        <f>SUM(B13:B14)</f>
        <v>1070670422</v>
      </c>
      <c r="C12" s="40">
        <f>SUM(C13+C14)</f>
        <v>809397111</v>
      </c>
      <c r="D12" s="40">
        <f>SUM(D13:D14)</f>
        <v>0</v>
      </c>
      <c r="E12" s="40">
        <f>SUM(E13:E14)</f>
        <v>0</v>
      </c>
      <c r="F12" s="40">
        <f t="shared" si="1"/>
        <v>1070670422</v>
      </c>
      <c r="G12" s="41">
        <f t="shared" si="2"/>
        <v>809397111</v>
      </c>
    </row>
    <row r="13" spans="1:13" ht="13.5">
      <c r="A13" s="7" t="s">
        <v>46</v>
      </c>
      <c r="B13" s="61">
        <f>(602106000+117933000+21600000+33523000+295508422)</f>
        <v>1070670422</v>
      </c>
      <c r="C13" s="61">
        <f>(426057291+49592053+5597627+32641718+295508422)</f>
        <v>809397111</v>
      </c>
      <c r="D13" s="61">
        <v>0</v>
      </c>
      <c r="E13" s="61">
        <v>0</v>
      </c>
      <c r="F13" s="48">
        <f t="shared" si="1"/>
        <v>1070670422</v>
      </c>
      <c r="G13" s="37">
        <f t="shared" si="2"/>
        <v>809397111</v>
      </c>
    </row>
    <row r="14" spans="1:13" ht="13.5">
      <c r="A14" s="7" t="s">
        <v>70</v>
      </c>
      <c r="B14" s="61">
        <v>0</v>
      </c>
      <c r="C14" s="82">
        <v>0</v>
      </c>
      <c r="D14" s="61">
        <v>0</v>
      </c>
      <c r="E14" s="61">
        <v>0</v>
      </c>
      <c r="F14" s="48">
        <f t="shared" si="1"/>
        <v>0</v>
      </c>
      <c r="G14" s="49">
        <f>+C14+E14</f>
        <v>0</v>
      </c>
    </row>
    <row r="15" spans="1:13">
      <c r="A15" s="9" t="s">
        <v>47</v>
      </c>
      <c r="B15" s="40">
        <f>SUM(B16:B17)</f>
        <v>0</v>
      </c>
      <c r="C15" s="40">
        <f>SUM(C16:C17)</f>
        <v>0</v>
      </c>
      <c r="D15" s="40">
        <f>SUM(D16:D17)</f>
        <v>0</v>
      </c>
      <c r="E15" s="40">
        <f>SUM(E16:E17)</f>
        <v>0</v>
      </c>
      <c r="F15" s="40">
        <f t="shared" si="1"/>
        <v>0</v>
      </c>
      <c r="G15" s="41">
        <f t="shared" si="2"/>
        <v>0</v>
      </c>
    </row>
    <row r="16" spans="1:13">
      <c r="A16" s="7" t="s">
        <v>48</v>
      </c>
      <c r="B16" s="45">
        <v>0</v>
      </c>
      <c r="C16" s="45">
        <v>0</v>
      </c>
      <c r="D16" s="45">
        <v>0</v>
      </c>
      <c r="E16" s="45">
        <v>0</v>
      </c>
      <c r="F16" s="36">
        <f t="shared" si="1"/>
        <v>0</v>
      </c>
      <c r="G16" s="37">
        <f t="shared" si="2"/>
        <v>0</v>
      </c>
    </row>
    <row r="17" spans="1:10">
      <c r="A17" s="7" t="s">
        <v>49</v>
      </c>
      <c r="B17" s="45">
        <v>0</v>
      </c>
      <c r="C17" s="45">
        <v>0</v>
      </c>
      <c r="D17" s="45">
        <v>0</v>
      </c>
      <c r="E17" s="45">
        <v>0</v>
      </c>
      <c r="F17" s="36">
        <f t="shared" si="1"/>
        <v>0</v>
      </c>
      <c r="G17" s="37">
        <f t="shared" si="2"/>
        <v>0</v>
      </c>
    </row>
    <row r="18" spans="1:10">
      <c r="A18" s="9" t="s">
        <v>50</v>
      </c>
      <c r="B18" s="40">
        <f>B19</f>
        <v>458954366</v>
      </c>
      <c r="C18" s="40">
        <f>C19</f>
        <v>458954365.26999998</v>
      </c>
      <c r="D18" s="40">
        <f>+D19+D22</f>
        <v>917799496</v>
      </c>
      <c r="E18" s="40">
        <f>+E19+E22</f>
        <v>917798496</v>
      </c>
      <c r="F18" s="40">
        <f>+B18+D18</f>
        <v>1376753862</v>
      </c>
      <c r="G18" s="41">
        <f t="shared" si="2"/>
        <v>1376752861.27</v>
      </c>
    </row>
    <row r="19" spans="1:10">
      <c r="A19" s="9" t="s">
        <v>51</v>
      </c>
      <c r="B19" s="40">
        <f>B20+B21</f>
        <v>458954366</v>
      </c>
      <c r="C19" s="40">
        <f>C20+C21</f>
        <v>458954365.26999998</v>
      </c>
      <c r="D19" s="40">
        <f>+D20</f>
        <v>917799496</v>
      </c>
      <c r="E19" s="40">
        <f>+E20</f>
        <v>917798496</v>
      </c>
      <c r="F19" s="40">
        <f t="shared" si="1"/>
        <v>1376753862</v>
      </c>
      <c r="G19" s="41">
        <f t="shared" si="2"/>
        <v>1376752861.27</v>
      </c>
    </row>
    <row r="20" spans="1:10">
      <c r="A20" s="7" t="s">
        <v>52</v>
      </c>
      <c r="B20" s="45">
        <f>232250500+31939325+167182051+16320000</f>
        <v>447691876</v>
      </c>
      <c r="C20" s="45">
        <f>232250500+31939325+167182050.27+16320000</f>
        <v>447691875.26999998</v>
      </c>
      <c r="D20" s="45">
        <v>917799496</v>
      </c>
      <c r="E20" s="45">
        <v>917798496</v>
      </c>
      <c r="F20" s="36">
        <f>+B20+D20</f>
        <v>1365491372</v>
      </c>
      <c r="G20" s="36">
        <f>+C20+E20</f>
        <v>1365490371.27</v>
      </c>
    </row>
    <row r="21" spans="1:10" ht="13.5">
      <c r="A21" s="7" t="s">
        <v>45</v>
      </c>
      <c r="B21" s="61">
        <f>10500000+762490</f>
        <v>11262490</v>
      </c>
      <c r="C21" s="61">
        <f>10500000+762490</f>
        <v>11262490</v>
      </c>
      <c r="D21" s="61">
        <v>0</v>
      </c>
      <c r="E21" s="61">
        <v>0</v>
      </c>
      <c r="F21" s="48">
        <f>+B21+D21</f>
        <v>11262490</v>
      </c>
      <c r="G21" s="37">
        <f>+C21+E21</f>
        <v>11262490</v>
      </c>
    </row>
    <row r="22" spans="1:10" ht="13.5" thickBot="1">
      <c r="A22" s="10" t="s">
        <v>72</v>
      </c>
      <c r="B22" s="46">
        <v>16320000</v>
      </c>
      <c r="C22" s="46">
        <v>16320000</v>
      </c>
      <c r="D22" s="46">
        <v>0</v>
      </c>
      <c r="E22" s="46">
        <v>0</v>
      </c>
      <c r="F22" s="38">
        <f t="shared" si="1"/>
        <v>16320000</v>
      </c>
      <c r="G22" s="39">
        <f t="shared" si="2"/>
        <v>16320000</v>
      </c>
    </row>
    <row r="23" spans="1:10" ht="13.5" thickBot="1">
      <c r="A23" s="6" t="s">
        <v>53</v>
      </c>
      <c r="B23" s="32">
        <f>B7+B8+B11</f>
        <v>4582057077</v>
      </c>
      <c r="C23" s="32">
        <f>C7+C8+C11</f>
        <v>4168225102.5700002</v>
      </c>
      <c r="D23" s="32">
        <f>+D7+D8+D11</f>
        <v>4041114385</v>
      </c>
      <c r="E23" s="32">
        <f>+E7+E8+E11</f>
        <v>4031414855</v>
      </c>
      <c r="F23" s="32">
        <f>+B23+D23</f>
        <v>8623171462</v>
      </c>
      <c r="G23" s="33">
        <f>E23+C23</f>
        <v>8199639957.5699997</v>
      </c>
      <c r="I23" s="80">
        <f>G23/F23</f>
        <v>0.95088448533159875</v>
      </c>
    </row>
    <row r="24" spans="1:10" ht="13.5" thickBot="1">
      <c r="A24" s="30"/>
      <c r="B24" s="42"/>
      <c r="C24" s="42"/>
      <c r="D24" s="42"/>
      <c r="E24" s="42"/>
      <c r="F24" s="43"/>
      <c r="G24" s="43"/>
    </row>
    <row r="25" spans="1:10" ht="13.5" thickBot="1">
      <c r="A25" s="6" t="s">
        <v>54</v>
      </c>
      <c r="B25" s="63">
        <f>B26+B30+B33+B37+B41+B44+B46</f>
        <v>14392674926</v>
      </c>
      <c r="C25" s="63">
        <f>C26+C30+C33+C37+C41+C44+C46</f>
        <v>12656759107.59</v>
      </c>
      <c r="D25" s="63">
        <f>D26+D30+D33+D37+D41+D44+D46+D47</f>
        <v>2684822000</v>
      </c>
      <c r="E25" s="63">
        <f>E26+E30+E33+E37+E41+E44+E46+E47</f>
        <v>2684748660.4200001</v>
      </c>
      <c r="F25" s="63">
        <f>+B25+D25</f>
        <v>17077496926</v>
      </c>
      <c r="G25" s="68">
        <f t="shared" si="2"/>
        <v>15341507768.01</v>
      </c>
      <c r="I25" s="80">
        <f>G25/F25</f>
        <v>0.89834639317972842</v>
      </c>
    </row>
    <row r="26" spans="1:10" ht="14.25" thickBot="1">
      <c r="A26" s="31" t="s">
        <v>78</v>
      </c>
      <c r="B26" s="55">
        <f>SUM(B27:B29)</f>
        <v>879509076</v>
      </c>
      <c r="C26" s="55">
        <f>SUM(C27:C29)</f>
        <v>671481057</v>
      </c>
      <c r="D26" s="55">
        <f>SUM(D27:D28)</f>
        <v>0</v>
      </c>
      <c r="E26" s="55">
        <f>SUM(E27:E28)</f>
        <v>0</v>
      </c>
      <c r="F26" s="69">
        <f t="shared" si="1"/>
        <v>879509076</v>
      </c>
      <c r="G26" s="70">
        <f t="shared" si="2"/>
        <v>671481057</v>
      </c>
    </row>
    <row r="27" spans="1:10" ht="26.25" thickBot="1">
      <c r="A27" s="78" t="s">
        <v>79</v>
      </c>
      <c r="B27" s="159">
        <f>326784376+4500000-21096028</f>
        <v>310188348</v>
      </c>
      <c r="C27" s="160">
        <v>190637147</v>
      </c>
      <c r="D27" s="161">
        <v>0</v>
      </c>
      <c r="E27" s="161">
        <v>0</v>
      </c>
      <c r="F27" s="162">
        <f t="shared" si="1"/>
        <v>310188348</v>
      </c>
      <c r="G27" s="163">
        <f t="shared" si="2"/>
        <v>190637147</v>
      </c>
    </row>
    <row r="28" spans="1:10" ht="14.25" customHeight="1" thickBot="1">
      <c r="A28" s="79" t="s">
        <v>80</v>
      </c>
      <c r="B28" s="47">
        <f>'[1]ANEXO 4. METAS DEL PLAN '!$O$23</f>
        <v>400458378.54000002</v>
      </c>
      <c r="C28" s="50">
        <v>368408937</v>
      </c>
      <c r="D28" s="50"/>
      <c r="E28" s="50">
        <v>0</v>
      </c>
      <c r="F28" s="67">
        <f t="shared" si="1"/>
        <v>400458378.54000002</v>
      </c>
      <c r="G28" s="71">
        <f t="shared" si="2"/>
        <v>368408937</v>
      </c>
    </row>
    <row r="29" spans="1:10" ht="14.25" customHeight="1" thickBot="1">
      <c r="A29" s="108" t="s">
        <v>81</v>
      </c>
      <c r="B29" s="47">
        <f>219508302+31032916-81678868.54</f>
        <v>168862349.45999998</v>
      </c>
      <c r="C29" s="50">
        <v>112434973</v>
      </c>
      <c r="D29" s="50"/>
      <c r="E29" s="50"/>
      <c r="F29" s="67"/>
      <c r="G29" s="71"/>
    </row>
    <row r="30" spans="1:10" ht="14.25" thickBot="1">
      <c r="A30" s="11" t="s">
        <v>82</v>
      </c>
      <c r="B30" s="54">
        <f>SUM(B31:B32)</f>
        <v>7982468324</v>
      </c>
      <c r="C30" s="55">
        <f>SUM(C31:C32)</f>
        <v>7446934379</v>
      </c>
      <c r="D30" s="55">
        <f>SUM(D31:D32)</f>
        <v>0</v>
      </c>
      <c r="E30" s="55">
        <f>SUM(E31:E32)</f>
        <v>0</v>
      </c>
      <c r="F30" s="72">
        <f t="shared" si="1"/>
        <v>7982468324</v>
      </c>
      <c r="G30" s="73">
        <f t="shared" si="2"/>
        <v>7446934379</v>
      </c>
    </row>
    <row r="31" spans="1:10" ht="26.25" thickBot="1">
      <c r="A31" s="79" t="s">
        <v>83</v>
      </c>
      <c r="B31" s="83">
        <f>'[1]ANEXO 4. METAS DEL PLAN '!$O$45</f>
        <v>5559486093</v>
      </c>
      <c r="C31" s="84">
        <v>5049786116</v>
      </c>
      <c r="D31" s="50"/>
      <c r="E31" s="50">
        <v>0</v>
      </c>
      <c r="F31" s="67">
        <f t="shared" si="1"/>
        <v>5559486093</v>
      </c>
      <c r="G31" s="71">
        <f t="shared" si="2"/>
        <v>5049786116</v>
      </c>
    </row>
    <row r="32" spans="1:10" ht="14.25" thickBot="1">
      <c r="A32" s="79" t="s">
        <v>84</v>
      </c>
      <c r="B32" s="47">
        <f>935240000+1550000000-62257769</f>
        <v>2422982231</v>
      </c>
      <c r="C32" s="50">
        <v>2397148263</v>
      </c>
      <c r="D32" s="50">
        <v>0</v>
      </c>
      <c r="E32" s="50">
        <v>0</v>
      </c>
      <c r="F32" s="67">
        <f t="shared" si="1"/>
        <v>2422982231</v>
      </c>
      <c r="G32" s="71">
        <f t="shared" si="2"/>
        <v>2397148263</v>
      </c>
      <c r="J32" s="132">
        <f>B23-3904833188</f>
        <v>677223889</v>
      </c>
    </row>
    <row r="33" spans="1:11" ht="24" thickBot="1">
      <c r="A33" s="53" t="s">
        <v>85</v>
      </c>
      <c r="B33" s="64">
        <f>SUM(B34:B36)</f>
        <v>1823619604</v>
      </c>
      <c r="C33" s="55">
        <f>SUM(C34:C36)</f>
        <v>1340871966</v>
      </c>
      <c r="D33" s="50">
        <f>SUM(D34:D35)</f>
        <v>0</v>
      </c>
      <c r="E33" s="50">
        <f>SUM(E34:E35)</f>
        <v>0</v>
      </c>
      <c r="F33" s="72">
        <f t="shared" si="1"/>
        <v>1823619604</v>
      </c>
      <c r="G33" s="73">
        <f t="shared" si="2"/>
        <v>1340871966</v>
      </c>
      <c r="I33" s="123">
        <v>7529777751.9700003</v>
      </c>
    </row>
    <row r="34" spans="1:11" ht="14.25" thickBot="1">
      <c r="A34" s="52" t="s">
        <v>86</v>
      </c>
      <c r="B34" s="65">
        <f>408436427+456417793+16634581+135000000</f>
        <v>1016488801</v>
      </c>
      <c r="C34" s="50">
        <v>649876380</v>
      </c>
      <c r="D34" s="50"/>
      <c r="E34" s="50">
        <v>0</v>
      </c>
      <c r="F34" s="67">
        <f t="shared" si="1"/>
        <v>1016488801</v>
      </c>
      <c r="G34" s="71">
        <f t="shared" si="2"/>
        <v>649876380</v>
      </c>
    </row>
    <row r="35" spans="1:11" ht="14.25" thickBot="1">
      <c r="A35" s="52" t="s">
        <v>87</v>
      </c>
      <c r="B35" s="65">
        <f>386784376+242000000-43453093-32250500</f>
        <v>553080783</v>
      </c>
      <c r="C35" s="50">
        <v>439857130</v>
      </c>
      <c r="D35" s="50"/>
      <c r="E35" s="50">
        <v>0</v>
      </c>
      <c r="F35" s="67">
        <f t="shared" si="1"/>
        <v>553080783</v>
      </c>
      <c r="G35" s="71">
        <f t="shared" si="2"/>
        <v>439857130</v>
      </c>
      <c r="I35" s="122">
        <f>C25-I33</f>
        <v>5126981355.6199999</v>
      </c>
    </row>
    <row r="36" spans="1:11" ht="14.25" thickBot="1">
      <c r="A36" s="52" t="s">
        <v>88</v>
      </c>
      <c r="B36" s="65">
        <f>210560587+28489433+15000000</f>
        <v>254050020</v>
      </c>
      <c r="C36" s="50">
        <v>251138456</v>
      </c>
      <c r="D36" s="50"/>
      <c r="E36" s="50"/>
      <c r="F36" s="67"/>
      <c r="G36" s="71"/>
    </row>
    <row r="37" spans="1:11" ht="14.25" thickBot="1">
      <c r="A37" s="53" t="s">
        <v>89</v>
      </c>
      <c r="B37" s="64">
        <f>SUM(B38:B40)</f>
        <v>2116525356</v>
      </c>
      <c r="C37" s="55">
        <f>SUM(C38:C40)</f>
        <v>1725680282</v>
      </c>
      <c r="D37" s="55">
        <f>SUM(D38:D39)</f>
        <v>0</v>
      </c>
      <c r="E37" s="55">
        <f>SUM(E38:E39)</f>
        <v>0</v>
      </c>
      <c r="F37" s="72">
        <f t="shared" si="1"/>
        <v>2116525356</v>
      </c>
      <c r="G37" s="73">
        <f>+C37+E37</f>
        <v>1725680282</v>
      </c>
    </row>
    <row r="38" spans="1:11" ht="13.5">
      <c r="A38" s="88" t="s">
        <v>90</v>
      </c>
      <c r="B38" s="65">
        <f>326784376-18000000+194896981+545000000</f>
        <v>1048681357</v>
      </c>
      <c r="C38" s="56">
        <v>837824296</v>
      </c>
      <c r="D38" s="56">
        <v>0</v>
      </c>
      <c r="E38" s="56">
        <v>0</v>
      </c>
      <c r="F38" s="66">
        <f t="shared" si="1"/>
        <v>1048681357</v>
      </c>
      <c r="G38" s="89">
        <f t="shared" si="2"/>
        <v>837824296</v>
      </c>
    </row>
    <row r="39" spans="1:11" ht="13.5">
      <c r="A39" s="58" t="s">
        <v>91</v>
      </c>
      <c r="B39" s="83">
        <f>262320313+100000000+188400000+1081790+49181626</f>
        <v>600983729</v>
      </c>
      <c r="C39" s="83">
        <v>431431986</v>
      </c>
      <c r="D39" s="47">
        <v>0</v>
      </c>
      <c r="E39" s="47">
        <v>0</v>
      </c>
      <c r="F39" s="67">
        <f t="shared" si="1"/>
        <v>600983729</v>
      </c>
      <c r="G39" s="67">
        <f t="shared" si="2"/>
        <v>431431986</v>
      </c>
    </row>
    <row r="40" spans="1:11" ht="13.5">
      <c r="A40" s="109" t="s">
        <v>92</v>
      </c>
      <c r="B40" s="83">
        <f>262320313+180000000+18000000+6539957</f>
        <v>466860270</v>
      </c>
      <c r="C40" s="110">
        <v>456424000</v>
      </c>
      <c r="D40" s="111"/>
      <c r="E40" s="111"/>
      <c r="F40" s="112"/>
      <c r="G40" s="113"/>
    </row>
    <row r="41" spans="1:11" ht="14.25" thickBot="1">
      <c r="A41" s="90" t="s">
        <v>93</v>
      </c>
      <c r="B41" s="91">
        <f>SUM(B42:B43)</f>
        <v>572845192</v>
      </c>
      <c r="C41" s="92">
        <f>SUM(C42:C43)</f>
        <v>549111469</v>
      </c>
      <c r="D41" s="92">
        <f>SUM(D42:D43)</f>
        <v>0</v>
      </c>
      <c r="E41" s="92">
        <f>SUM(E42:E43)</f>
        <v>0</v>
      </c>
      <c r="F41" s="93">
        <f t="shared" si="1"/>
        <v>572845192</v>
      </c>
      <c r="G41" s="94">
        <f>+C41+E41</f>
        <v>549111469</v>
      </c>
    </row>
    <row r="42" spans="1:11" ht="14.25" thickBot="1">
      <c r="A42" s="52" t="s">
        <v>94</v>
      </c>
      <c r="B42" s="65">
        <f>262320313+35795847</f>
        <v>298116160</v>
      </c>
      <c r="C42" s="50">
        <v>286007588</v>
      </c>
      <c r="D42" s="50">
        <v>0</v>
      </c>
      <c r="E42" s="50">
        <v>0</v>
      </c>
      <c r="F42" s="67">
        <f t="shared" si="1"/>
        <v>298116160</v>
      </c>
      <c r="G42" s="71">
        <f t="shared" si="2"/>
        <v>286007588</v>
      </c>
      <c r="K42" s="165">
        <f>983652939-G25</f>
        <v>-14357854829.01</v>
      </c>
    </row>
    <row r="43" spans="1:11" ht="14.25" thickBot="1">
      <c r="A43" s="58" t="s">
        <v>95</v>
      </c>
      <c r="B43" s="85">
        <f>262320313+12408719</f>
        <v>274729032</v>
      </c>
      <c r="C43" s="84">
        <v>263103881</v>
      </c>
      <c r="D43" s="50">
        <v>0</v>
      </c>
      <c r="E43" s="50">
        <v>0</v>
      </c>
      <c r="F43" s="67">
        <f t="shared" si="1"/>
        <v>274729032</v>
      </c>
      <c r="G43" s="71">
        <f t="shared" si="2"/>
        <v>263103881</v>
      </c>
    </row>
    <row r="44" spans="1:11" ht="14.25" thickBot="1">
      <c r="A44" s="53" t="s">
        <v>96</v>
      </c>
      <c r="B44" s="64">
        <f>SUM(B45:B45)</f>
        <v>1017707374</v>
      </c>
      <c r="C44" s="55">
        <f>SUM(C45:C45)</f>
        <v>922679954.59000003</v>
      </c>
      <c r="D44" s="55"/>
      <c r="E44" s="55"/>
      <c r="F44" s="67">
        <f t="shared" si="1"/>
        <v>1017707374</v>
      </c>
      <c r="G44" s="71">
        <f t="shared" si="2"/>
        <v>922679954.59000003</v>
      </c>
    </row>
    <row r="45" spans="1:11" ht="25.5">
      <c r="A45" s="58" t="s">
        <v>97</v>
      </c>
      <c r="B45" s="83">
        <f>343972365+400000000+273735009</f>
        <v>1017707374</v>
      </c>
      <c r="C45" s="84">
        <v>922679954.59000003</v>
      </c>
      <c r="D45" s="50">
        <v>0</v>
      </c>
      <c r="E45" s="50">
        <v>0</v>
      </c>
      <c r="F45" s="162">
        <f t="shared" si="1"/>
        <v>1017707374</v>
      </c>
      <c r="G45" s="163">
        <f t="shared" si="2"/>
        <v>922679954.59000003</v>
      </c>
    </row>
    <row r="46" spans="1:11" ht="13.5">
      <c r="A46" s="180" t="s">
        <v>138</v>
      </c>
      <c r="B46" s="164"/>
      <c r="C46" s="164"/>
      <c r="D46" s="179">
        <f>706118000+309005000+500000000+600000000+369699000</f>
        <v>2484822000</v>
      </c>
      <c r="E46" s="179">
        <f>706118000+309005000+500000000+600000000+369625660.42</f>
        <v>2484748660.4200001</v>
      </c>
      <c r="F46" s="164">
        <f t="shared" si="1"/>
        <v>2484822000</v>
      </c>
      <c r="G46" s="71">
        <f t="shared" si="2"/>
        <v>2484748660.4200001</v>
      </c>
    </row>
    <row r="47" spans="1:11" ht="14.25" thickBot="1">
      <c r="A47" s="181" t="s">
        <v>148</v>
      </c>
      <c r="B47" s="182"/>
      <c r="C47" s="182"/>
      <c r="D47" s="183">
        <v>200000000</v>
      </c>
      <c r="E47" s="183">
        <v>200000000</v>
      </c>
      <c r="F47" s="182"/>
      <c r="G47" s="89">
        <f t="shared" si="2"/>
        <v>200000000</v>
      </c>
    </row>
    <row r="48" spans="1:11" ht="14.25" thickBot="1">
      <c r="A48" s="185"/>
      <c r="B48" s="186"/>
      <c r="C48" s="186"/>
      <c r="D48" s="186"/>
      <c r="E48" s="186"/>
      <c r="F48" s="187"/>
      <c r="G48" s="188">
        <f t="shared" si="2"/>
        <v>0</v>
      </c>
    </row>
    <row r="49" spans="1:13" ht="13.5" thickBot="1">
      <c r="A49" s="57" t="s">
        <v>55</v>
      </c>
      <c r="B49" s="184">
        <f>B23+B25</f>
        <v>18974732003</v>
      </c>
      <c r="C49" s="184">
        <f>C23+C25</f>
        <v>16824984210.16</v>
      </c>
      <c r="D49" s="184">
        <f>D23+D25</f>
        <v>6725936385</v>
      </c>
      <c r="E49" s="184">
        <f>E23+E25</f>
        <v>6716163515.4200001</v>
      </c>
      <c r="F49" s="184">
        <f>F23+F25</f>
        <v>25700668388</v>
      </c>
      <c r="G49" s="35">
        <f>+C49+E49</f>
        <v>23541147725.580002</v>
      </c>
      <c r="I49" s="81">
        <f>G49/F49</f>
        <v>0.91597414394762167</v>
      </c>
    </row>
    <row r="50" spans="1:13" ht="27.75" customHeight="1">
      <c r="A50" s="217"/>
      <c r="B50" s="218"/>
      <c r="C50" s="218"/>
      <c r="D50" s="218"/>
      <c r="E50" s="218"/>
      <c r="F50" s="218"/>
      <c r="G50" s="218"/>
    </row>
    <row r="51" spans="1:13" ht="32.25" customHeight="1">
      <c r="A51" s="203"/>
      <c r="B51" s="203"/>
      <c r="C51" s="203"/>
      <c r="D51" s="203"/>
      <c r="E51" s="203"/>
      <c r="F51" s="203"/>
      <c r="G51" s="203"/>
    </row>
    <row r="52" spans="1:13">
      <c r="A52" s="2"/>
      <c r="B52" s="2"/>
      <c r="C52" s="2"/>
      <c r="D52" s="124"/>
      <c r="E52" s="2"/>
      <c r="F52" s="2"/>
      <c r="G52" s="2"/>
    </row>
    <row r="53" spans="1:13">
      <c r="A53" s="2"/>
      <c r="B53" s="2"/>
      <c r="C53" s="125"/>
      <c r="D53" s="2"/>
      <c r="E53" s="125">
        <f>242000000-43453093</f>
        <v>198546907</v>
      </c>
      <c r="G53" s="2"/>
    </row>
    <row r="54" spans="1:13">
      <c r="A54" s="2"/>
      <c r="B54" s="2"/>
      <c r="C54" s="2"/>
      <c r="D54" s="2"/>
      <c r="E54" s="2"/>
      <c r="F54" s="2"/>
      <c r="G54" s="2"/>
    </row>
    <row r="56" spans="1:13">
      <c r="E56" s="75"/>
    </row>
    <row r="58" spans="1:13" ht="13.5" thickBot="1">
      <c r="L58" t="s">
        <v>152</v>
      </c>
      <c r="M58" t="s">
        <v>153</v>
      </c>
    </row>
    <row r="59" spans="1:13" ht="10.5" customHeight="1">
      <c r="K59" s="167" t="s">
        <v>75</v>
      </c>
      <c r="L59" s="166">
        <f>K7</f>
        <v>17077496926</v>
      </c>
      <c r="M59" s="166" t="e">
        <f>#REF!</f>
        <v>#REF!</v>
      </c>
    </row>
  </sheetData>
  <mergeCells count="9">
    <mergeCell ref="A1:G1"/>
    <mergeCell ref="A51:G51"/>
    <mergeCell ref="A2:G2"/>
    <mergeCell ref="A3:G3"/>
    <mergeCell ref="B5:C5"/>
    <mergeCell ref="D5:E5"/>
    <mergeCell ref="F5:G5"/>
    <mergeCell ref="A5:A6"/>
    <mergeCell ref="A50:G50"/>
  </mergeCells>
  <phoneticPr fontId="9" type="noConversion"/>
  <printOptions horizontalCentered="1" vertic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workbookViewId="0">
      <selection activeCell="F27" sqref="F27"/>
    </sheetView>
  </sheetViews>
  <sheetFormatPr baseColWidth="10" defaultRowHeight="12.75"/>
  <cols>
    <col min="2" max="2" width="19.7109375" customWidth="1"/>
    <col min="3" max="3" width="15.140625" customWidth="1"/>
    <col min="4" max="4" width="21.140625" customWidth="1"/>
    <col min="5" max="5" width="14.5703125" customWidth="1"/>
    <col min="6" max="6" width="13.85546875" bestFit="1" customWidth="1"/>
  </cols>
  <sheetData>
    <row r="3" spans="1:6">
      <c r="B3" t="s">
        <v>99</v>
      </c>
      <c r="C3" t="s">
        <v>98</v>
      </c>
      <c r="D3" t="s">
        <v>100</v>
      </c>
      <c r="E3" t="s">
        <v>98</v>
      </c>
    </row>
    <row r="4" spans="1:6">
      <c r="A4" s="102" t="s">
        <v>35</v>
      </c>
      <c r="B4" s="117">
        <f>'Anexo 5-1 Ingresos'!I50</f>
        <v>25700668388</v>
      </c>
      <c r="C4" s="103">
        <v>100</v>
      </c>
      <c r="D4" s="117">
        <f>'Anexo 5-1 Ingresos'!D63</f>
        <v>25187128439.640003</v>
      </c>
      <c r="E4" s="116">
        <f>D4/B4*100</f>
        <v>98.001842050925902</v>
      </c>
    </row>
    <row r="6" spans="1:6">
      <c r="E6" t="s">
        <v>99</v>
      </c>
      <c r="F6" t="s">
        <v>100</v>
      </c>
    </row>
    <row r="7" spans="1:6">
      <c r="D7" s="107"/>
      <c r="E7" s="107">
        <f>C4</f>
        <v>100</v>
      </c>
      <c r="F7" s="116">
        <f>E4</f>
        <v>98.001842050925902</v>
      </c>
    </row>
    <row r="8" spans="1:6">
      <c r="E8" s="107"/>
      <c r="F8" s="10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B27" sqref="B27"/>
    </sheetView>
  </sheetViews>
  <sheetFormatPr baseColWidth="10" defaultRowHeight="12.75"/>
  <cols>
    <col min="1" max="1" width="42.5703125" customWidth="1"/>
    <col min="2" max="2" width="15.7109375" customWidth="1"/>
    <col min="3" max="3" width="16.28515625" customWidth="1"/>
  </cols>
  <sheetData>
    <row r="1" spans="1:3" ht="13.5" thickBot="1">
      <c r="A1" s="202" t="s">
        <v>56</v>
      </c>
      <c r="B1" s="202"/>
      <c r="C1" s="202"/>
    </row>
    <row r="2" spans="1:3">
      <c r="A2" s="204" t="s">
        <v>1</v>
      </c>
      <c r="B2" s="205"/>
      <c r="C2" s="205"/>
    </row>
    <row r="3" spans="1:3">
      <c r="A3" s="207" t="s">
        <v>69</v>
      </c>
      <c r="B3" s="201"/>
      <c r="C3" s="201"/>
    </row>
    <row r="4" spans="1:3" ht="13.5" thickBot="1">
      <c r="A4" s="3" t="s">
        <v>147</v>
      </c>
      <c r="B4" s="4"/>
      <c r="C4" s="97">
        <v>42369</v>
      </c>
    </row>
    <row r="5" spans="1:3" ht="13.5" customHeight="1" thickBot="1">
      <c r="A5" s="215" t="s">
        <v>36</v>
      </c>
      <c r="B5" s="209" t="s">
        <v>151</v>
      </c>
      <c r="C5" s="210"/>
    </row>
    <row r="6" spans="1:3" ht="13.5" thickBot="1">
      <c r="A6" s="216"/>
      <c r="B6" s="27" t="s">
        <v>0</v>
      </c>
      <c r="C6" s="28" t="s">
        <v>63</v>
      </c>
    </row>
    <row r="7" spans="1:3" ht="13.5" thickBot="1">
      <c r="A7" s="6" t="s">
        <v>150</v>
      </c>
      <c r="B7" s="44">
        <v>349380641</v>
      </c>
      <c r="C7" s="44">
        <v>225566666</v>
      </c>
    </row>
    <row r="8" spans="1:3">
      <c r="A8" s="29" t="s">
        <v>41</v>
      </c>
      <c r="B8" s="34">
        <f>B9+B10</f>
        <v>95695177</v>
      </c>
      <c r="C8" s="34">
        <f>C9+C10</f>
        <v>87464917</v>
      </c>
    </row>
    <row r="9" spans="1:3" ht="13.5">
      <c r="A9" s="7" t="s">
        <v>59</v>
      </c>
      <c r="B9" s="61">
        <v>95695177</v>
      </c>
      <c r="C9" s="61">
        <v>87464917</v>
      </c>
    </row>
    <row r="10" spans="1:3" ht="14.25" thickBot="1">
      <c r="A10" s="8" t="s">
        <v>42</v>
      </c>
      <c r="B10" s="61"/>
      <c r="C10" s="62">
        <v>0</v>
      </c>
    </row>
    <row r="11" spans="1:3">
      <c r="A11" s="29" t="s">
        <v>43</v>
      </c>
      <c r="B11" s="34">
        <f>+B12+B15+B18</f>
        <v>0</v>
      </c>
      <c r="C11" s="34">
        <f>+C12+C15</f>
        <v>0</v>
      </c>
    </row>
    <row r="12" spans="1:3">
      <c r="A12" s="9" t="s">
        <v>44</v>
      </c>
      <c r="B12" s="40">
        <f>SUM(B13:B14)</f>
        <v>0</v>
      </c>
      <c r="C12" s="40">
        <f>SUM(C13+C14)</f>
        <v>0</v>
      </c>
    </row>
    <row r="13" spans="1:3" ht="13.5">
      <c r="A13" s="7" t="s">
        <v>46</v>
      </c>
      <c r="B13" s="61"/>
      <c r="C13" s="61"/>
    </row>
    <row r="14" spans="1:3" ht="13.5">
      <c r="A14" s="7" t="s">
        <v>70</v>
      </c>
      <c r="B14" s="61">
        <v>0</v>
      </c>
      <c r="C14" s="82">
        <v>0</v>
      </c>
    </row>
    <row r="15" spans="1:3">
      <c r="A15" s="9" t="s">
        <v>47</v>
      </c>
      <c r="B15" s="40">
        <f>SUM(B16:B17)</f>
        <v>0</v>
      </c>
      <c r="C15" s="40">
        <f>SUM(C16:C17)</f>
        <v>0</v>
      </c>
    </row>
    <row r="16" spans="1:3">
      <c r="A16" s="7" t="s">
        <v>48</v>
      </c>
      <c r="B16" s="45">
        <v>0</v>
      </c>
      <c r="C16" s="45">
        <v>0</v>
      </c>
    </row>
    <row r="17" spans="1:3">
      <c r="A17" s="7" t="s">
        <v>49</v>
      </c>
      <c r="B17" s="45">
        <v>0</v>
      </c>
      <c r="C17" s="45">
        <v>0</v>
      </c>
    </row>
    <row r="18" spans="1:3">
      <c r="A18" s="9" t="s">
        <v>50</v>
      </c>
      <c r="B18" s="40">
        <f>B19+B21+B22</f>
        <v>0</v>
      </c>
      <c r="C18" s="40">
        <f>+C19+C21+C22</f>
        <v>0</v>
      </c>
    </row>
    <row r="19" spans="1:3">
      <c r="A19" s="9" t="s">
        <v>51</v>
      </c>
      <c r="B19" s="40">
        <f>B20</f>
        <v>0</v>
      </c>
      <c r="C19" s="40">
        <f>+C20</f>
        <v>0</v>
      </c>
    </row>
    <row r="20" spans="1:3">
      <c r="A20" s="7" t="s">
        <v>52</v>
      </c>
      <c r="B20" s="45"/>
      <c r="C20" s="45"/>
    </row>
    <row r="21" spans="1:3" ht="13.5">
      <c r="A21" s="7" t="s">
        <v>45</v>
      </c>
      <c r="B21" s="61"/>
      <c r="C21" s="61"/>
    </row>
    <row r="22" spans="1:3" ht="13.5" thickBot="1">
      <c r="A22" s="10" t="s">
        <v>72</v>
      </c>
      <c r="B22" s="46"/>
      <c r="C22" s="46"/>
    </row>
    <row r="23" spans="1:3" ht="13.5" thickBot="1">
      <c r="A23" s="6" t="s">
        <v>53</v>
      </c>
      <c r="B23" s="32">
        <f>B7+B8+B11</f>
        <v>445075818</v>
      </c>
      <c r="C23" s="32">
        <f>+C7+C8+C11+C18</f>
        <v>313031583</v>
      </c>
    </row>
    <row r="24" spans="1:3" ht="13.5" thickBot="1">
      <c r="A24" s="30"/>
      <c r="B24" s="42"/>
      <c r="C24" s="42"/>
    </row>
    <row r="25" spans="1:3" ht="13.5" thickBot="1">
      <c r="A25" s="6" t="s">
        <v>54</v>
      </c>
      <c r="B25" s="63">
        <f>B26+B30+B33+B37+B41+B44+B46</f>
        <v>29475939189.599998</v>
      </c>
      <c r="C25" s="63">
        <f>C26+C30+C33+C37+C41+C44+C46</f>
        <v>18201144858.060001</v>
      </c>
    </row>
    <row r="26" spans="1:3" ht="14.25" thickBot="1">
      <c r="A26" s="31" t="s">
        <v>78</v>
      </c>
      <c r="B26" s="55">
        <f>SUM(B27:B29)</f>
        <v>2667362598.5999999</v>
      </c>
      <c r="C26" s="55">
        <f>SUM(C27:C29)</f>
        <v>377109157</v>
      </c>
    </row>
    <row r="27" spans="1:3" ht="26.25" thickBot="1">
      <c r="A27" s="78" t="s">
        <v>79</v>
      </c>
      <c r="B27" s="159">
        <v>2660318502.1999998</v>
      </c>
      <c r="C27" s="160">
        <v>377068540</v>
      </c>
    </row>
    <row r="28" spans="1:3" ht="14.25" thickBot="1">
      <c r="A28" s="79" t="s">
        <v>80</v>
      </c>
      <c r="B28" s="47">
        <v>7044096.4000000004</v>
      </c>
      <c r="C28" s="50">
        <v>40617</v>
      </c>
    </row>
    <row r="29" spans="1:3" ht="14.25" thickBot="1">
      <c r="A29" s="108" t="s">
        <v>81</v>
      </c>
      <c r="B29" s="47"/>
      <c r="C29" s="50"/>
    </row>
    <row r="30" spans="1:3" ht="14.25" thickBot="1">
      <c r="A30" s="11" t="s">
        <v>82</v>
      </c>
      <c r="B30" s="54">
        <f>SUM(B31:B32)</f>
        <v>8580062935</v>
      </c>
      <c r="C30" s="55">
        <f>SUM(C31:C32)</f>
        <v>7030339608</v>
      </c>
    </row>
    <row r="31" spans="1:3" ht="26.25" thickBot="1">
      <c r="A31" s="79" t="s">
        <v>83</v>
      </c>
      <c r="B31" s="83">
        <v>8580062935</v>
      </c>
      <c r="C31" s="84">
        <v>7030339608</v>
      </c>
    </row>
    <row r="32" spans="1:3" ht="14.25" thickBot="1">
      <c r="A32" s="79" t="s">
        <v>84</v>
      </c>
      <c r="B32" s="47"/>
      <c r="C32" s="50"/>
    </row>
    <row r="33" spans="1:3" ht="24" thickBot="1">
      <c r="A33" s="53" t="s">
        <v>85</v>
      </c>
      <c r="B33" s="64">
        <f>SUM(B34:B36)</f>
        <v>16003985473</v>
      </c>
      <c r="C33" s="55">
        <f>SUM(C34:C36)</f>
        <v>9603938464.0600014</v>
      </c>
    </row>
    <row r="34" spans="1:3" ht="14.25" thickBot="1">
      <c r="A34" s="52" t="s">
        <v>86</v>
      </c>
      <c r="B34" s="65">
        <v>8123831300</v>
      </c>
      <c r="C34" s="50">
        <v>2365857718</v>
      </c>
    </row>
    <row r="35" spans="1:3" ht="14.25" thickBot="1">
      <c r="A35" s="52" t="s">
        <v>87</v>
      </c>
      <c r="B35" s="65">
        <v>7880154173</v>
      </c>
      <c r="C35" s="50">
        <v>7238080746.0600004</v>
      </c>
    </row>
    <row r="36" spans="1:3" ht="14.25" thickBot="1">
      <c r="A36" s="52" t="s">
        <v>88</v>
      </c>
      <c r="B36" s="65"/>
      <c r="C36" s="50"/>
    </row>
    <row r="37" spans="1:3" ht="14.25" thickBot="1">
      <c r="A37" s="53" t="s">
        <v>89</v>
      </c>
      <c r="B37" s="64">
        <f>SUM(B38:B40)</f>
        <v>1342576241</v>
      </c>
      <c r="C37" s="55">
        <f>SUM(C38:C40)</f>
        <v>307805687</v>
      </c>
    </row>
    <row r="38" spans="1:3" ht="13.5">
      <c r="A38" s="88" t="s">
        <v>90</v>
      </c>
      <c r="B38" s="65">
        <v>564180321</v>
      </c>
      <c r="C38" s="56">
        <v>9776</v>
      </c>
    </row>
    <row r="39" spans="1:3" ht="13.5">
      <c r="A39" s="58" t="s">
        <v>91</v>
      </c>
      <c r="B39" s="83">
        <v>470600000</v>
      </c>
      <c r="C39" s="83">
        <v>0</v>
      </c>
    </row>
    <row r="40" spans="1:3" ht="13.5">
      <c r="A40" s="109" t="s">
        <v>92</v>
      </c>
      <c r="B40" s="83">
        <v>307795920</v>
      </c>
      <c r="C40" s="110">
        <v>307795911</v>
      </c>
    </row>
    <row r="41" spans="1:3" ht="14.25" thickBot="1">
      <c r="A41" s="90" t="s">
        <v>93</v>
      </c>
      <c r="B41" s="91">
        <f>SUM(B42:B43)</f>
        <v>0</v>
      </c>
      <c r="C41" s="92">
        <f>SUM(C42:C43)</f>
        <v>0</v>
      </c>
    </row>
    <row r="42" spans="1:3" ht="14.25" thickBot="1">
      <c r="A42" s="52" t="s">
        <v>94</v>
      </c>
      <c r="B42" s="65"/>
      <c r="C42" s="50"/>
    </row>
    <row r="43" spans="1:3" ht="14.25" thickBot="1">
      <c r="A43" s="58" t="s">
        <v>95</v>
      </c>
      <c r="B43" s="85"/>
      <c r="C43" s="84"/>
    </row>
    <row r="44" spans="1:3" ht="14.25" thickBot="1">
      <c r="A44" s="53" t="s">
        <v>96</v>
      </c>
      <c r="B44" s="64">
        <f>SUM(B45:B45)</f>
        <v>0</v>
      </c>
      <c r="C44" s="55">
        <f>SUM(C45:C45)</f>
        <v>0</v>
      </c>
    </row>
    <row r="45" spans="1:3" ht="25.5">
      <c r="A45" s="58" t="s">
        <v>97</v>
      </c>
      <c r="B45" s="83"/>
      <c r="C45" s="84"/>
    </row>
    <row r="46" spans="1:3">
      <c r="A46" s="180" t="s">
        <v>155</v>
      </c>
      <c r="B46" s="164">
        <v>881951942</v>
      </c>
      <c r="C46" s="164">
        <v>881951942</v>
      </c>
    </row>
    <row r="47" spans="1:3" ht="13.5" thickBot="1">
      <c r="A47" s="181"/>
      <c r="B47" s="182"/>
      <c r="C47" s="182"/>
    </row>
    <row r="48" spans="1:3" ht="13.5" thickBot="1">
      <c r="A48" s="185"/>
      <c r="B48" s="186"/>
      <c r="C48" s="186"/>
    </row>
    <row r="49" spans="1:3" ht="13.5" thickBot="1">
      <c r="A49" s="57" t="s">
        <v>55</v>
      </c>
      <c r="B49" s="184">
        <f>B23+B25</f>
        <v>29921015007.599998</v>
      </c>
      <c r="C49" s="184">
        <f>C23+C25</f>
        <v>18514176441.060001</v>
      </c>
    </row>
  </sheetData>
  <mergeCells count="5">
    <mergeCell ref="A1:C1"/>
    <mergeCell ref="A2:C2"/>
    <mergeCell ref="A3:C3"/>
    <mergeCell ref="A5:A6"/>
    <mergeCell ref="B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E39"/>
  <sheetViews>
    <sheetView workbookViewId="0">
      <selection activeCell="C16" sqref="C16"/>
    </sheetView>
  </sheetViews>
  <sheetFormatPr baseColWidth="10" defaultRowHeight="12.75"/>
  <cols>
    <col min="1" max="1" width="23.140625" customWidth="1"/>
    <col min="2" max="2" width="17.5703125" bestFit="1" customWidth="1"/>
    <col min="3" max="3" width="5.7109375" customWidth="1"/>
    <col min="4" max="4" width="19.140625" customWidth="1"/>
    <col min="5" max="5" width="6.28515625" customWidth="1"/>
  </cols>
  <sheetData>
    <row r="15" spans="1:5">
      <c r="A15" s="158"/>
      <c r="B15" s="173" t="s">
        <v>144</v>
      </c>
      <c r="C15" s="173" t="s">
        <v>98</v>
      </c>
      <c r="D15" s="173" t="s">
        <v>145</v>
      </c>
      <c r="E15" s="173" t="s">
        <v>98</v>
      </c>
    </row>
    <row r="16" spans="1:5">
      <c r="A16" s="174" t="s">
        <v>140</v>
      </c>
      <c r="B16" s="175">
        <f>B17+B20</f>
        <v>18974732003</v>
      </c>
      <c r="C16" s="177">
        <f>B16/B22</f>
        <v>0.73829721922172131</v>
      </c>
      <c r="D16" s="175">
        <f>D17+D20</f>
        <v>17136511872.600002</v>
      </c>
      <c r="E16" s="178">
        <f>D16/D22</f>
        <v>0.68036782810184182</v>
      </c>
    </row>
    <row r="17" spans="1:5">
      <c r="A17" s="174" t="s">
        <v>141</v>
      </c>
      <c r="B17" s="172">
        <f>SUM(B18:B19)</f>
        <v>13237464210</v>
      </c>
      <c r="C17" s="158"/>
      <c r="D17" s="172">
        <f>SUM(D18:D19)</f>
        <v>12196737585.330002</v>
      </c>
      <c r="E17" s="158"/>
    </row>
    <row r="18" spans="1:5">
      <c r="A18" s="174" t="s">
        <v>5</v>
      </c>
      <c r="B18" s="171">
        <f>'Anexo 5-1 Ingresos'!C8</f>
        <v>2535000000</v>
      </c>
      <c r="C18" s="158"/>
      <c r="D18" s="171">
        <f>'Anexo 5-1 Ingresos'!D8</f>
        <v>2507089065</v>
      </c>
      <c r="E18" s="158"/>
    </row>
    <row r="19" spans="1:5">
      <c r="A19" s="174" t="s">
        <v>8</v>
      </c>
      <c r="B19" s="171">
        <f>'Anexo 5-1 Ingresos'!C12</f>
        <v>10702464210</v>
      </c>
      <c r="C19" s="158"/>
      <c r="D19" s="171">
        <f>'Anexo 5-1 Ingresos'!D12</f>
        <v>9689648520.3300018</v>
      </c>
      <c r="E19" s="158"/>
    </row>
    <row r="20" spans="1:5">
      <c r="A20" s="174" t="s">
        <v>142</v>
      </c>
      <c r="B20" s="171">
        <f>'Anexo 5-1 Ingresos'!C37</f>
        <v>5737267793</v>
      </c>
      <c r="C20" s="158"/>
      <c r="D20" s="171">
        <f>'Anexo 5-1 Ingresos'!D37</f>
        <v>4939774287.2700005</v>
      </c>
      <c r="E20" s="158"/>
    </row>
    <row r="21" spans="1:5">
      <c r="A21" s="174" t="s">
        <v>143</v>
      </c>
      <c r="B21" s="176">
        <f>'Anexo 5-1 Ingresos'!C56</f>
        <v>6725936385</v>
      </c>
      <c r="C21" s="177">
        <f>B21/B22</f>
        <v>0.26170278077827863</v>
      </c>
      <c r="D21" s="171">
        <f>'Anexo 5-1 Ingresos'!D56</f>
        <v>8050616567.04</v>
      </c>
      <c r="E21" s="178">
        <f>D21/D22</f>
        <v>0.31963217189815807</v>
      </c>
    </row>
    <row r="22" spans="1:5">
      <c r="A22" s="104" t="s">
        <v>146</v>
      </c>
      <c r="B22" s="175">
        <f>B16+B21</f>
        <v>25700668388</v>
      </c>
      <c r="C22" s="177">
        <v>1</v>
      </c>
      <c r="D22" s="175">
        <f>D16+D21</f>
        <v>25187128439.640003</v>
      </c>
      <c r="E22" s="177">
        <v>1</v>
      </c>
    </row>
    <row r="33" spans="1:1">
      <c r="A33" s="123"/>
    </row>
    <row r="35" spans="1:1">
      <c r="A35" s="123"/>
    </row>
    <row r="37" spans="1:1">
      <c r="A37" s="123"/>
    </row>
    <row r="39" spans="1:1">
      <c r="A39" s="1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Anexo 5-1 Ingresos</vt:lpstr>
      <vt:lpstr>Anexo 5-2 Gastos</vt:lpstr>
      <vt:lpstr>Interpretacion de Resultados</vt:lpstr>
      <vt:lpstr>SGR</vt:lpstr>
      <vt:lpstr>Hoja2</vt:lpstr>
      <vt:lpstr>'Anexo 5-1 Ingresos'!Área_de_impresión</vt:lpstr>
      <vt:lpstr>'Anexo 5-2 Gastos'!Área_de_impresión</vt:lpstr>
      <vt:lpstr>'Anexo 5-1 Ingresos'!Títulos_a_imprimir</vt:lpstr>
      <vt:lpstr>'Anexo 5-2 Gastos'!Títulos_a_imprimir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Vargas</dc:creator>
  <cp:lastModifiedBy>ING-YEISON COTES</cp:lastModifiedBy>
  <cp:lastPrinted>2015-07-17T15:14:53Z</cp:lastPrinted>
  <dcterms:created xsi:type="dcterms:W3CDTF">2004-01-28T22:51:19Z</dcterms:created>
  <dcterms:modified xsi:type="dcterms:W3CDTF">2016-02-03T16:58:14Z</dcterms:modified>
</cp:coreProperties>
</file>