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0500" windowHeight="11370" tabRatio="771" activeTab="6"/>
  </bookViews>
  <sheets>
    <sheet name="Anexo 5-1 Ingresos" sheetId="12" r:id="rId1"/>
    <sheet name="Anexo 5-2 Gastos" sheetId="13" r:id="rId2"/>
    <sheet name="Interpretacion de Resultados" sheetId="15" state="hidden" r:id="rId3"/>
    <sheet name="Hoja1" sheetId="16" r:id="rId4"/>
    <sheet name="Hoja2" sheetId="17" r:id="rId5"/>
    <sheet name="Inversion" sheetId="19" r:id="rId6"/>
    <sheet name="Pagos" sheetId="20" r:id="rId7"/>
  </sheets>
  <definedNames>
    <definedName name="_xlnm.Print_Area" localSheetId="0">'Anexo 5-1 Ingresos'!$A$1:$D$62</definedName>
    <definedName name="_xlnm.Print_Area" localSheetId="1">'Anexo 5-2 Gastos'!$A$1:$I$51</definedName>
    <definedName name="_xlnm.Print_Titles" localSheetId="0">'Anexo 5-1 Ingresos'!$1:$6</definedName>
    <definedName name="_xlnm.Print_Titles" localSheetId="1">'Anexo 5-2 Gastos'!$1:$6</definedName>
  </definedNames>
  <calcPr calcId="145621"/>
</workbook>
</file>

<file path=xl/calcChain.xml><?xml version="1.0" encoding="utf-8"?>
<calcChain xmlns="http://schemas.openxmlformats.org/spreadsheetml/2006/main">
  <c r="J46" i="20" l="1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3" i="20"/>
  <c r="I22" i="20"/>
  <c r="I18" i="20"/>
  <c r="I14" i="20"/>
  <c r="I13" i="20"/>
  <c r="I12" i="20"/>
  <c r="I11" i="20"/>
  <c r="I10" i="20"/>
  <c r="I9" i="20"/>
  <c r="I8" i="20"/>
  <c r="I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3" i="13"/>
  <c r="I22" i="13"/>
  <c r="I18" i="13"/>
  <c r="I13" i="13"/>
  <c r="I12" i="13"/>
  <c r="I11" i="13"/>
  <c r="I10" i="13"/>
  <c r="I9" i="13"/>
  <c r="I8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I7" i="13"/>
  <c r="J7" i="13"/>
  <c r="H7" i="13"/>
  <c r="E9" i="20" l="1"/>
  <c r="E10" i="20"/>
  <c r="I48" i="20"/>
  <c r="J48" i="20" s="1"/>
  <c r="J47" i="20"/>
  <c r="I46" i="20"/>
  <c r="B45" i="20"/>
  <c r="B44" i="20"/>
  <c r="G43" i="20"/>
  <c r="F43" i="20"/>
  <c r="E43" i="20"/>
  <c r="D43" i="20"/>
  <c r="C43" i="20"/>
  <c r="B43" i="20"/>
  <c r="B42" i="20"/>
  <c r="B41" i="20"/>
  <c r="F40" i="20"/>
  <c r="E40" i="20"/>
  <c r="D40" i="20"/>
  <c r="C40" i="20"/>
  <c r="B39" i="20"/>
  <c r="B38" i="20"/>
  <c r="G37" i="20"/>
  <c r="F37" i="20"/>
  <c r="E37" i="20"/>
  <c r="D37" i="20"/>
  <c r="C37" i="20"/>
  <c r="B36" i="20"/>
  <c r="B35" i="20"/>
  <c r="B34" i="20"/>
  <c r="G33" i="20"/>
  <c r="F33" i="20"/>
  <c r="E33" i="20"/>
  <c r="D33" i="20"/>
  <c r="C33" i="20"/>
  <c r="B32" i="20"/>
  <c r="B31" i="20"/>
  <c r="G30" i="20"/>
  <c r="G25" i="20" s="1"/>
  <c r="F30" i="20"/>
  <c r="E30" i="20"/>
  <c r="D30" i="20"/>
  <c r="C30" i="20"/>
  <c r="B29" i="20"/>
  <c r="B28" i="20"/>
  <c r="B27" i="20"/>
  <c r="G26" i="20"/>
  <c r="F26" i="20"/>
  <c r="F25" i="20" s="1"/>
  <c r="E26" i="20"/>
  <c r="D26" i="20"/>
  <c r="C26" i="20"/>
  <c r="B26" i="20"/>
  <c r="C25" i="20"/>
  <c r="I21" i="20"/>
  <c r="I20" i="20"/>
  <c r="F19" i="20"/>
  <c r="F18" i="20" s="1"/>
  <c r="E19" i="20"/>
  <c r="E18" i="20" s="1"/>
  <c r="C19" i="20"/>
  <c r="I19" i="20" s="1"/>
  <c r="B19" i="20"/>
  <c r="G18" i="20"/>
  <c r="D18" i="20"/>
  <c r="C18" i="20"/>
  <c r="B18" i="20"/>
  <c r="I17" i="20"/>
  <c r="I16" i="20"/>
  <c r="F15" i="20"/>
  <c r="E15" i="20"/>
  <c r="C15" i="20"/>
  <c r="I15" i="20" s="1"/>
  <c r="B15" i="20"/>
  <c r="G12" i="20"/>
  <c r="G11" i="20" s="1"/>
  <c r="F12" i="20"/>
  <c r="E12" i="20"/>
  <c r="D12" i="20"/>
  <c r="D11" i="20" s="1"/>
  <c r="C12" i="20"/>
  <c r="B12" i="20"/>
  <c r="B9" i="20"/>
  <c r="G8" i="20"/>
  <c r="G23" i="20" s="1"/>
  <c r="F8" i="20"/>
  <c r="F23" i="20" s="1"/>
  <c r="E8" i="20"/>
  <c r="D8" i="20"/>
  <c r="C8" i="20"/>
  <c r="E7" i="20"/>
  <c r="B7" i="20"/>
  <c r="E25" i="20" l="1"/>
  <c r="B37" i="20"/>
  <c r="B40" i="20"/>
  <c r="E11" i="20"/>
  <c r="G49" i="20"/>
  <c r="B33" i="20"/>
  <c r="B25" i="20" s="1"/>
  <c r="M7" i="20" s="1"/>
  <c r="D23" i="20"/>
  <c r="B30" i="20"/>
  <c r="D25" i="20"/>
  <c r="E23" i="20"/>
  <c r="F11" i="20"/>
  <c r="F49" i="20"/>
  <c r="B8" i="20"/>
  <c r="B11" i="20"/>
  <c r="C11" i="20"/>
  <c r="K35" i="20"/>
  <c r="E9" i="13"/>
  <c r="E10" i="13"/>
  <c r="E7" i="13"/>
  <c r="E49" i="20" l="1"/>
  <c r="J49" i="20"/>
  <c r="K16" i="20"/>
  <c r="D49" i="20"/>
  <c r="B23" i="20"/>
  <c r="C23" i="20"/>
  <c r="D37" i="13"/>
  <c r="J47" i="13"/>
  <c r="C37" i="13"/>
  <c r="G12" i="13"/>
  <c r="G18" i="13"/>
  <c r="G8" i="13"/>
  <c r="G23" i="13"/>
  <c r="E43" i="13"/>
  <c r="F43" i="13"/>
  <c r="G43" i="13"/>
  <c r="G11" i="13" l="1"/>
  <c r="C49" i="20"/>
  <c r="B49" i="20"/>
  <c r="L32" i="20"/>
  <c r="K25" i="20"/>
  <c r="N7" i="20"/>
  <c r="O7" i="20" s="1"/>
  <c r="M41" i="20"/>
  <c r="B44" i="13"/>
  <c r="D40" i="13"/>
  <c r="C43" i="13"/>
  <c r="D43" i="13"/>
  <c r="B42" i="13"/>
  <c r="B41" i="13"/>
  <c r="B45" i="13"/>
  <c r="B39" i="13"/>
  <c r="G37" i="13"/>
  <c r="B38" i="13"/>
  <c r="B36" i="13"/>
  <c r="B35" i="13"/>
  <c r="B34" i="13"/>
  <c r="G33" i="13"/>
  <c r="D33" i="13"/>
  <c r="B32" i="13"/>
  <c r="D30" i="13"/>
  <c r="B43" i="13" l="1"/>
  <c r="B37" i="13"/>
  <c r="M6" i="20"/>
  <c r="H49" i="20"/>
  <c r="M8" i="20" s="1"/>
  <c r="I49" i="20"/>
  <c r="K23" i="20"/>
  <c r="N6" i="20"/>
  <c r="O6" i="20" s="1"/>
  <c r="G30" i="13"/>
  <c r="G26" i="13"/>
  <c r="B31" i="13"/>
  <c r="G25" i="13" l="1"/>
  <c r="G49" i="13" s="1"/>
  <c r="K49" i="20"/>
  <c r="N8" i="20"/>
  <c r="O8" i="20" s="1"/>
  <c r="B28" i="13" l="1"/>
  <c r="B29" i="13"/>
  <c r="B27" i="13" l="1"/>
  <c r="D26" i="13"/>
  <c r="D8" i="13"/>
  <c r="D18" i="13"/>
  <c r="D12" i="13"/>
  <c r="B9" i="13"/>
  <c r="B7" i="13"/>
  <c r="D25" i="13" l="1"/>
  <c r="D11" i="13"/>
  <c r="H19" i="19"/>
  <c r="E18" i="19"/>
  <c r="D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D23" i="13" l="1"/>
  <c r="F18" i="19"/>
  <c r="E19" i="19" s="1"/>
  <c r="D49" i="13" l="1"/>
  <c r="J49" i="13"/>
  <c r="D19" i="19"/>
  <c r="D56" i="12"/>
  <c r="D51" i="12"/>
  <c r="E51" i="12" s="1"/>
  <c r="C51" i="12"/>
  <c r="C56" i="12"/>
  <c r="D21" i="17" l="1"/>
  <c r="B21" i="17"/>
  <c r="A2" i="16" l="1"/>
  <c r="A1" i="16"/>
  <c r="B8" i="13" l="1"/>
  <c r="D45" i="12" l="1"/>
  <c r="D33" i="12" l="1"/>
  <c r="D31" i="12"/>
  <c r="C31" i="12"/>
  <c r="C33" i="12"/>
  <c r="E33" i="12" l="1"/>
  <c r="C45" i="12"/>
  <c r="E45" i="12" s="1"/>
  <c r="E32" i="12"/>
  <c r="E29" i="12"/>
  <c r="C12" i="13" l="1"/>
  <c r="B12" i="13"/>
  <c r="C19" i="13"/>
  <c r="C18" i="13" s="1"/>
  <c r="B19" i="13"/>
  <c r="C40" i="13"/>
  <c r="F8" i="13"/>
  <c r="D23" i="12"/>
  <c r="C23" i="12"/>
  <c r="B18" i="13" l="1"/>
  <c r="F23" i="13"/>
  <c r="C8" i="13"/>
  <c r="E8" i="13"/>
  <c r="D13" i="12"/>
  <c r="C13" i="12"/>
  <c r="D8" i="12"/>
  <c r="C8" i="12"/>
  <c r="B18" i="17" s="1"/>
  <c r="D19" i="12"/>
  <c r="D12" i="12" s="1"/>
  <c r="K49" i="12"/>
  <c r="C19" i="12"/>
  <c r="C12" i="12" s="1"/>
  <c r="I49" i="12"/>
  <c r="E18" i="12" l="1"/>
  <c r="B19" i="17"/>
  <c r="B17" i="17" s="1"/>
  <c r="F24" i="12"/>
  <c r="D19" i="17"/>
  <c r="K46" i="12"/>
  <c r="D18" i="17"/>
  <c r="E7" i="15"/>
  <c r="C26" i="13"/>
  <c r="B30" i="13"/>
  <c r="B26" i="13"/>
  <c r="B40" i="13"/>
  <c r="C33" i="13"/>
  <c r="B33" i="13"/>
  <c r="D17" i="17" l="1"/>
  <c r="E26" i="12"/>
  <c r="E24" i="12"/>
  <c r="D41" i="12"/>
  <c r="I14" i="13"/>
  <c r="I20" i="13"/>
  <c r="D38" i="12"/>
  <c r="C30" i="13"/>
  <c r="I48" i="13"/>
  <c r="J48" i="13" s="1"/>
  <c r="F40" i="13"/>
  <c r="I46" i="13"/>
  <c r="C15" i="13"/>
  <c r="C11" i="13" s="1"/>
  <c r="E19" i="13"/>
  <c r="E15" i="13"/>
  <c r="E12" i="13"/>
  <c r="F19" i="13"/>
  <c r="F18" i="13" s="1"/>
  <c r="F15" i="13"/>
  <c r="F12" i="13"/>
  <c r="B15" i="13"/>
  <c r="E40" i="13"/>
  <c r="E37" i="13"/>
  <c r="E33" i="13"/>
  <c r="E30" i="13"/>
  <c r="F37" i="13"/>
  <c r="F33" i="13"/>
  <c r="F30" i="13"/>
  <c r="E26" i="13"/>
  <c r="F26" i="13"/>
  <c r="I17" i="13"/>
  <c r="I16" i="13"/>
  <c r="I21" i="13"/>
  <c r="H46" i="13"/>
  <c r="C41" i="12"/>
  <c r="C38" i="12"/>
  <c r="C23" i="13" l="1"/>
  <c r="E25" i="13"/>
  <c r="B11" i="13"/>
  <c r="E18" i="13"/>
  <c r="F25" i="13"/>
  <c r="F49" i="13" s="1"/>
  <c r="C37" i="12"/>
  <c r="B20" i="17" s="1"/>
  <c r="B16" i="17" s="1"/>
  <c r="D37" i="12"/>
  <c r="D20" i="17" s="1"/>
  <c r="D16" i="17" s="1"/>
  <c r="D22" i="17" s="1"/>
  <c r="E21" i="17" s="1"/>
  <c r="B25" i="13"/>
  <c r="F11" i="13"/>
  <c r="I15" i="13"/>
  <c r="C7" i="12"/>
  <c r="I47" i="12"/>
  <c r="I19" i="13"/>
  <c r="E8" i="12"/>
  <c r="E56" i="12"/>
  <c r="E11" i="13" l="1"/>
  <c r="E23" i="13" s="1"/>
  <c r="E49" i="13" s="1"/>
  <c r="K16" i="13"/>
  <c r="B23" i="13"/>
  <c r="L32" i="13" s="1"/>
  <c r="C25" i="13"/>
  <c r="E46" i="12"/>
  <c r="K48" i="12"/>
  <c r="I48" i="12"/>
  <c r="B22" i="17"/>
  <c r="C21" i="17" s="1"/>
  <c r="E16" i="17"/>
  <c r="C6" i="12"/>
  <c r="E37" i="12"/>
  <c r="D7" i="12"/>
  <c r="K47" i="12"/>
  <c r="I45" i="12"/>
  <c r="J47" i="12" s="1"/>
  <c r="N6" i="13"/>
  <c r="E12" i="12"/>
  <c r="B49" i="13" l="1"/>
  <c r="H49" i="13"/>
  <c r="M8" i="13" s="1"/>
  <c r="C61" i="12"/>
  <c r="K35" i="13"/>
  <c r="C16" i="17"/>
  <c r="M6" i="13"/>
  <c r="O6" i="13" s="1"/>
  <c r="M7" i="13"/>
  <c r="K45" i="12"/>
  <c r="D6" i="12"/>
  <c r="I44" i="12"/>
  <c r="J45" i="12" s="1"/>
  <c r="J46" i="12"/>
  <c r="C49" i="13"/>
  <c r="E7" i="12"/>
  <c r="D61" i="12" l="1"/>
  <c r="B2" i="16" s="1"/>
  <c r="K25" i="13"/>
  <c r="I49" i="13"/>
  <c r="N8" i="13" s="1"/>
  <c r="O8" i="13" s="1"/>
  <c r="N7" i="13"/>
  <c r="O7" i="13" s="1"/>
  <c r="M41" i="13"/>
  <c r="L46" i="12"/>
  <c r="L47" i="12"/>
  <c r="I50" i="12"/>
  <c r="B4" i="15" s="1"/>
  <c r="B1" i="16"/>
  <c r="K44" i="12"/>
  <c r="L48" i="12" s="1"/>
  <c r="J48" i="12"/>
  <c r="E6" i="12"/>
  <c r="K23" i="13"/>
  <c r="J49" i="12" l="1"/>
  <c r="J44" i="12"/>
  <c r="H4" i="12"/>
  <c r="L45" i="12"/>
  <c r="J56" i="12" s="1"/>
  <c r="K49" i="13"/>
  <c r="K50" i="12"/>
  <c r="D4" i="15"/>
  <c r="E4" i="15" s="1"/>
  <c r="F7" i="15" s="1"/>
  <c r="I4" i="12"/>
  <c r="E61" i="12"/>
  <c r="J50" i="12" l="1"/>
  <c r="L50" i="12"/>
  <c r="L44" i="12"/>
  <c r="I55" i="12" s="1"/>
  <c r="L49" i="12"/>
  <c r="I58" i="12" s="1"/>
  <c r="I59" i="12" l="1"/>
</calcChain>
</file>

<file path=xl/sharedStrings.xml><?xml version="1.0" encoding="utf-8"?>
<sst xmlns="http://schemas.openxmlformats.org/spreadsheetml/2006/main" count="286" uniqueCount="185">
  <si>
    <t>PRESUPUESTADO</t>
  </si>
  <si>
    <t xml:space="preserve">INFORME DE EJECUCION PRESUPUESTAL DE GASTOS </t>
  </si>
  <si>
    <t>NIVEL RENTISTICO</t>
  </si>
  <si>
    <t>INGRESOS PROPIOS</t>
  </si>
  <si>
    <t>INGRESOS CORRIENTES</t>
  </si>
  <si>
    <t>Tributarios</t>
  </si>
  <si>
    <t>Participación Ambiental Municipios</t>
  </si>
  <si>
    <t>Otros</t>
  </si>
  <si>
    <t>No Tributarios</t>
  </si>
  <si>
    <t>Venta de Bienes y Servicios</t>
  </si>
  <si>
    <t>Licencias, permisos y tramites ambientales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</si>
  <si>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</si>
  <si>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</si>
  <si>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</si>
  <si>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</si>
  <si>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</si>
  <si>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Otros Aportes de Otras Entidades</t>
  </si>
  <si>
    <t>Otros Ingresos</t>
  </si>
  <si>
    <t>Tasa Material de Arrastre</t>
  </si>
  <si>
    <t>Tasa por Uso del Agua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</si>
  <si>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</si>
  <si>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</si>
  <si>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</si>
  <si>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</si>
  <si>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</si>
  <si>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</si>
  <si>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</si>
  <si>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</si>
  <si>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</si>
  <si>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</si>
  <si>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</si>
  <si>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</si>
  <si>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</si>
  <si>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APORTES DE LA NACION</t>
  </si>
  <si>
    <t>Funcionamiento</t>
  </si>
  <si>
    <t>TOTAL INGRESOS VIGENCIA</t>
  </si>
  <si>
    <t>CONCEPTO</t>
  </si>
  <si>
    <t>RECURSOS PROPIOS
$</t>
  </si>
  <si>
    <t>RECURSOS DE LA NACION 
$</t>
  </si>
  <si>
    <t>GASTOS DE PERSONAL</t>
  </si>
  <si>
    <t>GASTOS GENERALES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</si>
  <si>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</si>
  <si>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</si>
  <si>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</si>
  <si>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</si>
  <si>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</si>
  <si>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</si>
  <si>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</si>
  <si>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</si>
  <si>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</si>
  <si>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</si>
  <si>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</si>
  <si>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>TOTAL GASTOS DE FUNCIONAMIENTO</t>
  </si>
  <si>
    <t>TOTAL INVERSION</t>
  </si>
  <si>
    <t xml:space="preserve">TOTAL PRESUPUESTO  </t>
  </si>
  <si>
    <t>ANEXO 5-2</t>
  </si>
  <si>
    <t>ANEXO 5-1</t>
  </si>
  <si>
    <t xml:space="preserve">INFORME DE EJECUCION PRESUPUESTAL DE INGRESOS </t>
  </si>
  <si>
    <t>Adquisición de Bienes y servicios</t>
  </si>
  <si>
    <t>Sobretasa o Porcentaje Ambiental</t>
  </si>
  <si>
    <t>APROPIADO</t>
  </si>
  <si>
    <t>RECAUDADO</t>
  </si>
  <si>
    <t>COMPROMETIDO</t>
  </si>
  <si>
    <t>Multas y sanciones por infracciones ambientales</t>
  </si>
  <si>
    <t xml:space="preserve">Otros por Venta de Bienes y Servicios </t>
  </si>
  <si>
    <t>Convenios con Otras Entidades</t>
  </si>
  <si>
    <t>CORPORACION AUTONOMA REGIONAL DE LA GUAJIRA</t>
  </si>
  <si>
    <t>Indemnizaciones</t>
  </si>
  <si>
    <t>Tasa Retributiva y Compensatoria</t>
  </si>
  <si>
    <t xml:space="preserve">TOTAL PRESUPUESTO </t>
  </si>
  <si>
    <t>TOTAL GASTOS DE FUNCI.</t>
  </si>
  <si>
    <t>TOTAL GASTOS DE INVER.</t>
  </si>
  <si>
    <t xml:space="preserve">APROPIADO </t>
  </si>
  <si>
    <t xml:space="preserve">RECAUDADO </t>
  </si>
  <si>
    <t>Programa 1. Ordenamiento Ambiental Territorial</t>
  </si>
  <si>
    <t>Proyecto 1.1. Planificación, Ordenamiento e Información Ambiental Territorial</t>
  </si>
  <si>
    <t>Proyecto 1.2. Gestión del Riesgo y adaptación al Cambio Climático.</t>
  </si>
  <si>
    <t>Proyecto 1.3. Gestión del conocimiento y Cooperación Internacional.</t>
  </si>
  <si>
    <t>Programa 2. Gestión Integral del Recurso Hídrico</t>
  </si>
  <si>
    <t>Proyecto 2.1.Administración de la oferta y demanda del recurso hídrico. (Superficiales y subterráneas).</t>
  </si>
  <si>
    <t>Proyecto 2.2. .  Monitoreo de la calidad del recurso hídrico.</t>
  </si>
  <si>
    <t>Programa 3. Bosques, Biodiversidad y Servicios Ecosistémicos.</t>
  </si>
  <si>
    <t>Proyecto 3.1. Ecosistemas estratégicos continentales y marinos</t>
  </si>
  <si>
    <t>Proyecto 3.2. Protección y conservación de la biodiversidad.</t>
  </si>
  <si>
    <t>Proyecto 3.3.Negocios verdes y sostenibles.</t>
  </si>
  <si>
    <t>Progrma 4. Gestión Ambiental Sectorial y Urbana</t>
  </si>
  <si>
    <t>Proyecto 4.1. Gestión Ambiental Urbana</t>
  </si>
  <si>
    <t>Proyecto 4.2. Gestión Ambiental Sectorial</t>
  </si>
  <si>
    <t>Proyecto 4.3. Calidad del aire</t>
  </si>
  <si>
    <t>Programa 5. Educación Ambiental</t>
  </si>
  <si>
    <t>Proyecto 5.1. Cultura Ambiental</t>
  </si>
  <si>
    <t>Proyecto 5.2.Participación Comunitaria</t>
  </si>
  <si>
    <t>Programa 6. Calidad Ambiental</t>
  </si>
  <si>
    <t>Proyecto 6.1. Monitoreo y evaluación de la calidad de los recursos naturales y la biodiversidad.</t>
  </si>
  <si>
    <t>%</t>
  </si>
  <si>
    <t xml:space="preserve">Apropiado </t>
  </si>
  <si>
    <t xml:space="preserve">Recaudado </t>
  </si>
  <si>
    <t>TASAS</t>
  </si>
  <si>
    <t xml:space="preserve">Multas </t>
  </si>
  <si>
    <t>1800-010302</t>
  </si>
  <si>
    <t>1800-01030203</t>
  </si>
  <si>
    <t>1800-0104</t>
  </si>
  <si>
    <t>1800-01030102</t>
  </si>
  <si>
    <t>1800-0103010201</t>
  </si>
  <si>
    <t>1800-010301020101-05</t>
  </si>
  <si>
    <t>1800-010301020103-12</t>
  </si>
  <si>
    <t>1800-010301020104-12</t>
  </si>
  <si>
    <t>1800-010301020201-12</t>
  </si>
  <si>
    <t>1800-0103010208</t>
  </si>
  <si>
    <t xml:space="preserve">Tasa Aprovechamiento Forestal </t>
  </si>
  <si>
    <t xml:space="preserve">Recurperacion de Cartera </t>
  </si>
  <si>
    <t>Recuperacion de Cartera Tasa Retributivas y Compensaciones</t>
  </si>
  <si>
    <t>Recuperacion de Cartera Mutas</t>
  </si>
  <si>
    <t>1800-0103</t>
  </si>
  <si>
    <t>1800-010301</t>
  </si>
  <si>
    <t>1800-01030101</t>
  </si>
  <si>
    <t>1800-010301020102-11</t>
  </si>
  <si>
    <t>1800-010301020105-12</t>
  </si>
  <si>
    <t>1800-010301020102-02</t>
  </si>
  <si>
    <t>1800-01030205</t>
  </si>
  <si>
    <t>1800-010302050402-12</t>
  </si>
  <si>
    <t>1800-010301020202</t>
  </si>
  <si>
    <t>1800-010301020805-02</t>
  </si>
  <si>
    <t>Recuperacion de Cartera por Utilizacion del Recurso Hidrico</t>
  </si>
  <si>
    <t>1800-010302050407-11</t>
  </si>
  <si>
    <t xml:space="preserve">Recuperacion Incapacidad y Licencia de Maternidad </t>
  </si>
  <si>
    <t>1800-0103010206010445-04</t>
  </si>
  <si>
    <t>Identificacion Presupuestal</t>
  </si>
  <si>
    <t>1800-010301020810-30</t>
  </si>
  <si>
    <t>1800-01030102080-12</t>
  </si>
  <si>
    <t>FCA Funcionamiento</t>
  </si>
  <si>
    <t xml:space="preserve">FCA </t>
  </si>
  <si>
    <t>Inversión. FCA</t>
  </si>
  <si>
    <t>Ingresos Propios</t>
  </si>
  <si>
    <t>Ingresos Corrientes</t>
  </si>
  <si>
    <t>Recursos de Capital</t>
  </si>
  <si>
    <t>Aportes de La Nacion</t>
  </si>
  <si>
    <t>Apropiado</t>
  </si>
  <si>
    <t>Recaudado</t>
  </si>
  <si>
    <t>Total Ingresos Vigencia</t>
  </si>
  <si>
    <t>FONAM</t>
  </si>
  <si>
    <t>Inversion FONAM</t>
  </si>
  <si>
    <t xml:space="preserve">RECURSOS VIGENCIA 2016. </t>
  </si>
  <si>
    <t>Seguimiento a licencias, permisos y trámites</t>
  </si>
  <si>
    <t>Programa</t>
  </si>
  <si>
    <t>Proyecto</t>
  </si>
  <si>
    <t>Costos Operativos</t>
  </si>
  <si>
    <t>Inversion Neta</t>
  </si>
  <si>
    <t xml:space="preserve">Total Inversion </t>
  </si>
  <si>
    <t>Alquiler de Vehiculos</t>
  </si>
  <si>
    <t>1. Ordenamiento Ambiental Territorial</t>
  </si>
  <si>
    <t>Planificacion, Ordenamiento e Informacion Ambiental</t>
  </si>
  <si>
    <t>Gestion del Riesgo y Adaptacion al Cambio climatico</t>
  </si>
  <si>
    <t xml:space="preserve">Gestion del Conocimiento y Cooperacion Internacional </t>
  </si>
  <si>
    <t>2. Gestion Integral del Recurso Hidrico</t>
  </si>
  <si>
    <t>Administracion de la Oferta y la Demanda del Recurso Hidrico Superficiales y Subterraneos</t>
  </si>
  <si>
    <t>Calidad del Recurso Hidrico</t>
  </si>
  <si>
    <t>3. Bosques, Biodiversidad y Servicios Ecosistemicos</t>
  </si>
  <si>
    <t>Ecosistemas Estrategicos, Continentales y Marinos</t>
  </si>
  <si>
    <t>Proteccion y Conservacion de la Biodiversidad</t>
  </si>
  <si>
    <t>Negocios Verdes y Sostenibles</t>
  </si>
  <si>
    <t>4. Gestion Ambiental Sectorial y Urbana</t>
  </si>
  <si>
    <t>Gestion Ambiental Urbana</t>
  </si>
  <si>
    <t>Gestion Ambiental Sectorial</t>
  </si>
  <si>
    <t>Calidad de Aire</t>
  </si>
  <si>
    <t>5. Educacion Ambiental</t>
  </si>
  <si>
    <t xml:space="preserve">Cultura Ambiental </t>
  </si>
  <si>
    <t xml:space="preserve">Participacion Comunitaria </t>
  </si>
  <si>
    <t xml:space="preserve">6. Calidad Ambiental </t>
  </si>
  <si>
    <t xml:space="preserve">Monitoreo y evaluación de la calidad de los recursos naturales y la biodiversidad </t>
  </si>
  <si>
    <t>Total</t>
  </si>
  <si>
    <t>RECURSOS VIGENCIA 2016.  Acuerdo 031 del 22 de Diciembre de 2015</t>
  </si>
  <si>
    <t>1800-010301010101-07</t>
  </si>
  <si>
    <t>Movilización Material Vegetal</t>
  </si>
  <si>
    <t>Movilización Ilegal de Madera</t>
  </si>
  <si>
    <t>1800-01040000 10</t>
  </si>
  <si>
    <t>1800-010302050401-05</t>
  </si>
  <si>
    <t>OBLIGACIONES</t>
  </si>
  <si>
    <t>TOTAL RECURSOS 
(PROPIOS -NACION-SGR)
$</t>
  </si>
  <si>
    <t>OTRAS (ASOCARS) (Municipios)</t>
  </si>
  <si>
    <t>30 de Junio de 2106</t>
  </si>
  <si>
    <t>PAGOS</t>
  </si>
  <si>
    <t>TOTAL RECURSOS 
(PROPIOS -NACION) $</t>
  </si>
  <si>
    <t>RECURSOS PROPIOS $</t>
  </si>
  <si>
    <t>RECURSOS DE LA NACION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</si>
</sst>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#,##0.00_ ;\-#,##0.00\ "/>
    <numFmt numFmtId="168" formatCode="_ * #,##0_ ;_ * \-#,##0_ ;_ * &quot;-&quot;??_ ;_ @_ "/>
    <numFmt numFmtId="169" formatCode="[$$-240A]\ #,##0"/>
    <numFmt numFmtId="170" formatCode="0.0%"/>
    <numFmt numFmtId="171" formatCode="_-* #,##0_-;\-* #,##0_-;_-* &quot;-&quot;??_-;_-@_-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Univers"/>
      <family val="2"/>
    </font>
    <font>
      <sz val="8"/>
      <name val="Arial"/>
      <family val="2"/>
    </font>
    <font>
      <b/>
      <vertAlign val="superscript"/>
      <sz val="8"/>
      <color indexed="10"/>
      <name val="Univers"/>
      <family val="2"/>
    </font>
    <font>
      <b/>
      <sz val="8"/>
      <color indexed="10"/>
      <name val="Univers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9"/>
      <name val="Univers"/>
    </font>
    <font>
      <sz val="16"/>
      <color rgb="FF444444"/>
      <name val="Segoe UI Light"/>
      <family val="2"/>
    </font>
    <font>
      <b/>
      <sz val="8"/>
      <name val="Univers"/>
    </font>
    <font>
      <b/>
      <sz val="7"/>
      <name val="Univers"/>
      <family val="2"/>
    </font>
    <font>
      <sz val="7"/>
      <name val="Univers"/>
      <family val="2"/>
    </font>
    <font>
      <sz val="7"/>
      <name val="Arial"/>
      <family val="2"/>
    </font>
    <font>
      <b/>
      <sz val="7"/>
      <name val="Univers"/>
    </font>
    <font>
      <sz val="9"/>
      <name val="Univers"/>
    </font>
    <font>
      <sz val="8"/>
      <name val="Univers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Protection="1"/>
    <xf numFmtId="0" fontId="0" fillId="0" borderId="2" xfId="0" applyBorder="1" applyProtection="1"/>
    <xf numFmtId="0" fontId="5" fillId="0" borderId="4" xfId="0" applyFont="1" applyFill="1" applyBorder="1" applyProtection="1"/>
    <xf numFmtId="0" fontId="3" fillId="0" borderId="5" xfId="0" applyFont="1" applyFill="1" applyBorder="1" applyProtection="1"/>
    <xf numFmtId="0" fontId="5" fillId="0" borderId="5" xfId="0" applyFont="1" applyFill="1" applyBorder="1" applyProtection="1"/>
    <xf numFmtId="0" fontId="5" fillId="0" borderId="6" xfId="0" applyFont="1" applyFill="1" applyBorder="1" applyProtection="1"/>
    <xf numFmtId="0" fontId="5" fillId="0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/>
    <xf numFmtId="0" fontId="4" fillId="3" borderId="8" xfId="0" applyFont="1" applyFill="1" applyBorder="1" applyProtection="1"/>
    <xf numFmtId="0" fontId="4" fillId="4" borderId="8" xfId="0" applyFont="1" applyFill="1" applyBorder="1" applyProtection="1"/>
    <xf numFmtId="0" fontId="3" fillId="0" borderId="8" xfId="0" applyFont="1" applyFill="1" applyBorder="1" applyProtection="1"/>
    <xf numFmtId="0" fontId="5" fillId="0" borderId="8" xfId="0" applyFont="1" applyFill="1" applyBorder="1" applyProtection="1"/>
    <xf numFmtId="0" fontId="4" fillId="0" borderId="8" xfId="0" applyFont="1" applyBorder="1" applyProtection="1"/>
    <xf numFmtId="166" fontId="4" fillId="2" borderId="10" xfId="1" applyNumberFormat="1" applyFont="1" applyFill="1" applyBorder="1" applyProtection="1"/>
    <xf numFmtId="166" fontId="4" fillId="3" borderId="11" xfId="1" applyNumberFormat="1" applyFont="1" applyFill="1" applyBorder="1" applyProtection="1"/>
    <xf numFmtId="166" fontId="4" fillId="4" borderId="11" xfId="1" applyNumberFormat="1" applyFont="1" applyFill="1" applyBorder="1" applyProtection="1"/>
    <xf numFmtId="166" fontId="5" fillId="0" borderId="11" xfId="1" applyNumberFormat="1" applyFont="1" applyFill="1" applyBorder="1" applyProtection="1"/>
    <xf numFmtId="166" fontId="4" fillId="0" borderId="11" xfId="1" applyNumberFormat="1" applyFont="1" applyBorder="1" applyProtection="1"/>
    <xf numFmtId="166" fontId="3" fillId="0" borderId="11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5" fillId="0" borderId="14" xfId="0" applyFont="1" applyFill="1" applyBorder="1" applyProtection="1"/>
    <xf numFmtId="0" fontId="3" fillId="0" borderId="0" xfId="0" applyFont="1" applyBorder="1" applyProtection="1"/>
    <xf numFmtId="0" fontId="5" fillId="0" borderId="15" xfId="0" applyFont="1" applyFill="1" applyBorder="1" applyAlignment="1" applyProtection="1">
      <alignment wrapText="1"/>
      <protection locked="0"/>
    </xf>
    <xf numFmtId="166" fontId="5" fillId="0" borderId="16" xfId="1" applyFont="1" applyFill="1" applyBorder="1" applyProtection="1"/>
    <xf numFmtId="166" fontId="5" fillId="0" borderId="10" xfId="1" applyFont="1" applyFill="1" applyBorder="1" applyProtection="1"/>
    <xf numFmtId="166" fontId="5" fillId="0" borderId="18" xfId="1" applyFont="1" applyFill="1" applyBorder="1" applyProtection="1"/>
    <xf numFmtId="166" fontId="3" fillId="0" borderId="11" xfId="1" applyFont="1" applyFill="1" applyBorder="1" applyProtection="1"/>
    <xf numFmtId="166" fontId="3" fillId="0" borderId="19" xfId="1" applyFont="1" applyFill="1" applyBorder="1" applyProtection="1"/>
    <xf numFmtId="166" fontId="5" fillId="0" borderId="11" xfId="1" applyFont="1" applyFill="1" applyBorder="1" applyProtection="1"/>
    <xf numFmtId="166" fontId="5" fillId="0" borderId="19" xfId="1" applyFont="1" applyFill="1" applyBorder="1" applyProtection="1"/>
    <xf numFmtId="166" fontId="3" fillId="0" borderId="0" xfId="1" applyFont="1" applyBorder="1" applyProtection="1"/>
    <xf numFmtId="166" fontId="3" fillId="0" borderId="0" xfId="1" applyFont="1" applyFill="1" applyBorder="1" applyProtection="1"/>
    <xf numFmtId="166" fontId="5" fillId="0" borderId="16" xfId="1" applyFont="1" applyFill="1" applyBorder="1" applyProtection="1">
      <protection locked="0"/>
    </xf>
    <xf numFmtId="166" fontId="3" fillId="0" borderId="11" xfId="1" applyFont="1" applyFill="1" applyBorder="1" applyProtection="1">
      <protection locked="0"/>
    </xf>
    <xf numFmtId="166" fontId="3" fillId="0" borderId="20" xfId="1" applyFont="1" applyFill="1" applyBorder="1" applyProtection="1">
      <protection locked="0"/>
    </xf>
    <xf numFmtId="166" fontId="12" fillId="0" borderId="11" xfId="1" applyFont="1" applyFill="1" applyBorder="1" applyAlignment="1" applyProtection="1">
      <alignment wrapText="1"/>
      <protection locked="0"/>
    </xf>
    <xf numFmtId="166" fontId="12" fillId="0" borderId="11" xfId="1" applyFont="1" applyFill="1" applyBorder="1" applyProtection="1"/>
    <xf numFmtId="166" fontId="12" fillId="0" borderId="19" xfId="1" applyFont="1" applyFill="1" applyBorder="1" applyProtection="1"/>
    <xf numFmtId="166" fontId="12" fillId="0" borderId="20" xfId="1" applyFont="1" applyFill="1" applyBorder="1" applyProtection="1"/>
    <xf numFmtId="0" fontId="12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66" fontId="13" fillId="0" borderId="11" xfId="1" applyFont="1" applyFill="1" applyBorder="1" applyAlignment="1" applyProtection="1">
      <alignment wrapText="1"/>
      <protection locked="0"/>
    </xf>
    <xf numFmtId="166" fontId="13" fillId="0" borderId="21" xfId="1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/>
    <xf numFmtId="0" fontId="12" fillId="0" borderId="11" xfId="0" applyFont="1" applyFill="1" applyBorder="1" applyAlignment="1" applyProtection="1">
      <alignment horizontal="justify" wrapText="1"/>
      <protection locked="0"/>
    </xf>
    <xf numFmtId="0" fontId="3" fillId="0" borderId="8" xfId="0" applyFont="1" applyFill="1" applyBorder="1" applyAlignment="1" applyProtection="1">
      <alignment wrapText="1"/>
    </xf>
    <xf numFmtId="166" fontId="12" fillId="0" borderId="11" xfId="1" applyFont="1" applyFill="1" applyBorder="1" applyProtection="1">
      <protection locked="0"/>
    </xf>
    <xf numFmtId="166" fontId="12" fillId="0" borderId="20" xfId="1" applyFont="1" applyFill="1" applyBorder="1" applyProtection="1">
      <protection locked="0"/>
    </xf>
    <xf numFmtId="166" fontId="5" fillId="0" borderId="16" xfId="1" applyFont="1" applyFill="1" applyBorder="1" applyAlignment="1" applyProtection="1"/>
    <xf numFmtId="166" fontId="13" fillId="0" borderId="25" xfId="1" applyFont="1" applyFill="1" applyBorder="1" applyAlignment="1" applyProtection="1">
      <alignment wrapText="1"/>
      <protection locked="0"/>
    </xf>
    <xf numFmtId="166" fontId="12" fillId="0" borderId="11" xfId="1" applyFont="1" applyFill="1" applyBorder="1" applyAlignment="1" applyProtection="1"/>
    <xf numFmtId="166" fontId="5" fillId="0" borderId="17" xfId="1" applyFont="1" applyFill="1" applyBorder="1" applyAlignment="1" applyProtection="1"/>
    <xf numFmtId="166" fontId="13" fillId="0" borderId="21" xfId="1" applyFont="1" applyFill="1" applyBorder="1" applyAlignment="1" applyProtection="1"/>
    <xf numFmtId="166" fontId="13" fillId="0" borderId="26" xfId="1" applyFont="1" applyFill="1" applyBorder="1" applyAlignment="1" applyProtection="1"/>
    <xf numFmtId="166" fontId="12" fillId="0" borderId="19" xfId="1" applyFont="1" applyFill="1" applyBorder="1" applyAlignment="1" applyProtection="1"/>
    <xf numFmtId="166" fontId="13" fillId="0" borderId="11" xfId="1" applyFont="1" applyFill="1" applyBorder="1" applyAlignment="1" applyProtection="1"/>
    <xf numFmtId="166" fontId="13" fillId="0" borderId="19" xfId="1" applyFont="1" applyFill="1" applyBorder="1" applyAlignment="1" applyProtection="1"/>
    <xf numFmtId="0" fontId="4" fillId="0" borderId="11" xfId="0" applyFont="1" applyBorder="1" applyAlignment="1" applyProtection="1">
      <alignment horizontal="center" vertical="top"/>
    </xf>
    <xf numFmtId="166" fontId="0" fillId="0" borderId="0" xfId="0" applyNumberFormat="1"/>
    <xf numFmtId="0" fontId="12" fillId="0" borderId="5" xfId="0" applyFont="1" applyFill="1" applyBorder="1" applyAlignment="1" applyProtection="1">
      <alignment horizontal="justify" wrapText="1"/>
      <protection locked="0"/>
    </xf>
    <xf numFmtId="0" fontId="12" fillId="0" borderId="5" xfId="0" applyFont="1" applyFill="1" applyBorder="1" applyAlignment="1" applyProtection="1">
      <alignment wrapText="1"/>
      <protection locked="0"/>
    </xf>
    <xf numFmtId="10" fontId="0" fillId="0" borderId="0" xfId="0" applyNumberFormat="1"/>
    <xf numFmtId="10" fontId="0" fillId="0" borderId="11" xfId="0" applyNumberFormat="1" applyBorder="1" applyProtection="1"/>
    <xf numFmtId="166" fontId="12" fillId="0" borderId="0" xfId="1" applyFont="1" applyFill="1"/>
    <xf numFmtId="166" fontId="12" fillId="0" borderId="11" xfId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Protection="1"/>
    <xf numFmtId="166" fontId="4" fillId="6" borderId="11" xfId="1" applyNumberFormat="1" applyFont="1" applyFill="1" applyBorder="1" applyProtection="1"/>
    <xf numFmtId="0" fontId="12" fillId="0" borderId="25" xfId="0" applyFont="1" applyFill="1" applyBorder="1" applyAlignment="1" applyProtection="1">
      <alignment wrapText="1"/>
      <protection locked="0"/>
    </xf>
    <xf numFmtId="166" fontId="12" fillId="0" borderId="29" xfId="1" applyFont="1" applyFill="1" applyBorder="1" applyAlignment="1" applyProtection="1"/>
    <xf numFmtId="0" fontId="5" fillId="0" borderId="10" xfId="0" applyFont="1" applyFill="1" applyBorder="1" applyAlignment="1" applyProtection="1">
      <alignment wrapText="1"/>
      <protection locked="0"/>
    </xf>
    <xf numFmtId="166" fontId="13" fillId="0" borderId="30" xfId="1" applyFont="1" applyFill="1" applyBorder="1" applyAlignment="1" applyProtection="1">
      <alignment wrapText="1"/>
      <protection locked="0"/>
    </xf>
    <xf numFmtId="166" fontId="13" fillId="0" borderId="10" xfId="1" applyFont="1" applyFill="1" applyBorder="1" applyAlignment="1" applyProtection="1">
      <alignment wrapText="1"/>
      <protection locked="0"/>
    </xf>
    <xf numFmtId="166" fontId="13" fillId="0" borderId="10" xfId="1" applyFont="1" applyFill="1" applyBorder="1" applyAlignment="1" applyProtection="1"/>
    <xf numFmtId="166" fontId="13" fillId="0" borderId="18" xfId="1" applyFont="1" applyFill="1" applyBorder="1" applyAlignment="1" applyProtection="1"/>
    <xf numFmtId="0" fontId="3" fillId="0" borderId="8" xfId="0" applyFont="1" applyFill="1" applyBorder="1" applyAlignment="1" applyProtection="1">
      <alignment horizontal="justify" vertical="top" wrapText="1"/>
    </xf>
    <xf numFmtId="166" fontId="3" fillId="0" borderId="11" xfId="1" applyNumberFormat="1" applyFont="1" applyFill="1" applyBorder="1" applyAlignment="1" applyProtection="1">
      <alignment horizontal="center" vertical="center"/>
      <protection locked="0"/>
    </xf>
    <xf numFmtId="17" fontId="0" fillId="0" borderId="2" xfId="0" applyNumberFormat="1" applyBorder="1" applyProtection="1"/>
    <xf numFmtId="9" fontId="0" fillId="0" borderId="0" xfId="2" applyFont="1"/>
    <xf numFmtId="0" fontId="14" fillId="0" borderId="0" xfId="0" applyFont="1"/>
    <xf numFmtId="10" fontId="14" fillId="0" borderId="0" xfId="0" applyNumberFormat="1" applyFont="1"/>
    <xf numFmtId="0" fontId="4" fillId="0" borderId="11" xfId="0" applyFont="1" applyFill="1" applyBorder="1" applyProtection="1"/>
    <xf numFmtId="1" fontId="4" fillId="0" borderId="11" xfId="0" applyNumberFormat="1" applyFont="1" applyFill="1" applyBorder="1" applyProtection="1"/>
    <xf numFmtId="168" fontId="4" fillId="0" borderId="11" xfId="1" applyNumberFormat="1" applyFont="1" applyFill="1" applyBorder="1" applyProtection="1"/>
    <xf numFmtId="0" fontId="2" fillId="0" borderId="11" xfId="0" applyFont="1" applyFill="1" applyBorder="1"/>
    <xf numFmtId="0" fontId="15" fillId="0" borderId="11" xfId="0" applyFont="1" applyFill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168" fontId="0" fillId="0" borderId="0" xfId="0" applyNumberFormat="1"/>
    <xf numFmtId="0" fontId="12" fillId="0" borderId="5" xfId="0" applyFont="1" applyFill="1" applyBorder="1" applyAlignment="1" applyProtection="1">
      <protection locked="0"/>
    </xf>
    <xf numFmtId="0" fontId="12" fillId="0" borderId="10" xfId="0" applyFont="1" applyFill="1" applyBorder="1" applyAlignment="1" applyProtection="1">
      <alignment horizontal="justify" wrapText="1"/>
      <protection locked="0"/>
    </xf>
    <xf numFmtId="166" fontId="12" fillId="0" borderId="10" xfId="1" applyFont="1" applyFill="1" applyBorder="1" applyAlignment="1" applyProtection="1">
      <alignment horizontal="center" vertical="center" wrapText="1"/>
      <protection locked="0"/>
    </xf>
    <xf numFmtId="166" fontId="12" fillId="0" borderId="10" xfId="1" applyFont="1" applyFill="1" applyBorder="1" applyAlignment="1" applyProtection="1">
      <alignment wrapText="1"/>
      <protection locked="0"/>
    </xf>
    <xf numFmtId="166" fontId="4" fillId="0" borderId="11" xfId="1" applyNumberFormat="1" applyFont="1" applyFill="1" applyBorder="1" applyProtection="1"/>
    <xf numFmtId="166" fontId="4" fillId="0" borderId="11" xfId="1" applyFont="1" applyFill="1" applyBorder="1" applyProtection="1"/>
    <xf numFmtId="2" fontId="0" fillId="0" borderId="0" xfId="0" applyNumberFormat="1"/>
    <xf numFmtId="164" fontId="4" fillId="0" borderId="11" xfId="3" applyFont="1" applyFill="1" applyBorder="1" applyProtection="1"/>
    <xf numFmtId="166" fontId="5" fillId="0" borderId="16" xfId="1" applyNumberFormat="1" applyFont="1" applyFill="1" applyBorder="1" applyProtection="1">
      <protection locked="0"/>
    </xf>
    <xf numFmtId="166" fontId="3" fillId="0" borderId="11" xfId="1" applyNumberFormat="1" applyFont="1" applyFill="1" applyBorder="1" applyAlignment="1" applyProtection="1">
      <alignment horizontal="right"/>
      <protection locked="0"/>
    </xf>
    <xf numFmtId="166" fontId="5" fillId="0" borderId="11" xfId="1" applyNumberFormat="1" applyFont="1" applyFill="1" applyBorder="1" applyAlignment="1" applyProtection="1">
      <alignment horizontal="right"/>
      <protection locked="0"/>
    </xf>
    <xf numFmtId="2" fontId="0" fillId="0" borderId="11" xfId="0" applyNumberFormat="1" applyBorder="1"/>
    <xf numFmtId="165" fontId="0" fillId="0" borderId="0" xfId="0" applyNumberFormat="1"/>
    <xf numFmtId="166" fontId="0" fillId="0" borderId="0" xfId="1" applyFont="1"/>
    <xf numFmtId="166" fontId="0" fillId="0" borderId="0" xfId="1" applyFont="1" applyProtection="1"/>
    <xf numFmtId="0" fontId="16" fillId="0" borderId="0" xfId="0" applyFont="1" applyAlignment="1">
      <alignment horizontal="left" wrapText="1"/>
    </xf>
    <xf numFmtId="1" fontId="4" fillId="0" borderId="0" xfId="0" applyNumberFormat="1" applyFont="1" applyFill="1" applyBorder="1" applyProtection="1"/>
    <xf numFmtId="168" fontId="4" fillId="0" borderId="0" xfId="1" applyNumberFormat="1" applyFont="1" applyFill="1" applyBorder="1" applyProtection="1"/>
    <xf numFmtId="2" fontId="0" fillId="0" borderId="0" xfId="0" applyNumberFormat="1" applyBorder="1"/>
    <xf numFmtId="43" fontId="0" fillId="0" borderId="0" xfId="0" applyNumberFormat="1"/>
    <xf numFmtId="166" fontId="3" fillId="0" borderId="11" xfId="1" applyNumberFormat="1" applyFont="1" applyFill="1" applyBorder="1" applyAlignment="1" applyProtection="1">
      <alignment vertical="center"/>
      <protection locked="0"/>
    </xf>
    <xf numFmtId="1" fontId="18" fillId="0" borderId="9" xfId="4" applyNumberFormat="1" applyFont="1" applyBorder="1" applyAlignment="1" applyProtection="1">
      <alignment horizontal="left"/>
    </xf>
    <xf numFmtId="1" fontId="18" fillId="2" borderId="27" xfId="0" applyNumberFormat="1" applyFont="1" applyFill="1" applyBorder="1" applyAlignment="1" applyProtection="1">
      <alignment horizontal="left"/>
    </xf>
    <xf numFmtId="1" fontId="18" fillId="3" borderId="9" xfId="0" applyNumberFormat="1" applyFont="1" applyFill="1" applyBorder="1" applyAlignment="1" applyProtection="1">
      <alignment horizontal="left"/>
    </xf>
    <xf numFmtId="1" fontId="18" fillId="4" borderId="9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left"/>
    </xf>
    <xf numFmtId="1" fontId="18" fillId="4" borderId="9" xfId="4" applyNumberFormat="1" applyFont="1" applyFill="1" applyBorder="1" applyAlignment="1" applyProtection="1">
      <alignment horizontal="left"/>
    </xf>
    <xf numFmtId="1" fontId="18" fillId="0" borderId="9" xfId="4" applyNumberFormat="1" applyFont="1" applyBorder="1" applyAlignment="1" applyProtection="1">
      <alignment horizontal="left" vertical="center"/>
    </xf>
    <xf numFmtId="1" fontId="19" fillId="0" borderId="9" xfId="4" applyNumberFormat="1" applyFont="1" applyBorder="1" applyAlignment="1" applyProtection="1">
      <alignment horizontal="left"/>
    </xf>
    <xf numFmtId="1" fontId="21" fillId="0" borderId="9" xfId="4" applyNumberFormat="1" applyFont="1" applyBorder="1" applyAlignment="1" applyProtection="1">
      <alignment horizontal="left"/>
    </xf>
    <xf numFmtId="1" fontId="18" fillId="5" borderId="9" xfId="4" applyNumberFormat="1" applyFont="1" applyFill="1" applyBorder="1" applyAlignment="1" applyProtection="1">
      <alignment horizontal="left"/>
    </xf>
    <xf numFmtId="1" fontId="18" fillId="5" borderId="22" xfId="4" applyNumberFormat="1" applyFont="1" applyFill="1" applyBorder="1" applyAlignment="1" applyProtection="1">
      <alignment horizontal="left"/>
    </xf>
    <xf numFmtId="1" fontId="18" fillId="5" borderId="9" xfId="0" applyNumberFormat="1" applyFont="1" applyFill="1" applyBorder="1" applyAlignment="1" applyProtection="1">
      <alignment horizontal="left"/>
    </xf>
    <xf numFmtId="0" fontId="21" fillId="0" borderId="11" xfId="0" applyFont="1" applyBorder="1" applyProtection="1"/>
    <xf numFmtId="1" fontId="22" fillId="5" borderId="8" xfId="0" applyNumberFormat="1" applyFont="1" applyFill="1" applyBorder="1" applyProtection="1"/>
    <xf numFmtId="166" fontId="22" fillId="5" borderId="11" xfId="1" applyNumberFormat="1" applyFont="1" applyFill="1" applyBorder="1" applyProtection="1">
      <protection locked="0"/>
    </xf>
    <xf numFmtId="2" fontId="0" fillId="0" borderId="11" xfId="2" applyNumberFormat="1" applyFont="1" applyBorder="1"/>
    <xf numFmtId="2" fontId="0" fillId="0" borderId="39" xfId="2" applyNumberFormat="1" applyFont="1" applyBorder="1"/>
    <xf numFmtId="9" fontId="0" fillId="0" borderId="39" xfId="2" applyFont="1" applyBorder="1"/>
    <xf numFmtId="0" fontId="0" fillId="0" borderId="11" xfId="0" applyBorder="1"/>
    <xf numFmtId="166" fontId="12" fillId="0" borderId="11" xfId="1" applyFont="1" applyFill="1" applyBorder="1" applyAlignment="1" applyProtection="1">
      <alignment horizontal="right" vertical="center"/>
    </xf>
    <xf numFmtId="166" fontId="23" fillId="0" borderId="11" xfId="1" applyFont="1" applyFill="1" applyBorder="1" applyAlignment="1" applyProtection="1"/>
    <xf numFmtId="43" fontId="9" fillId="0" borderId="0" xfId="0" applyNumberFormat="1" applyFont="1"/>
    <xf numFmtId="169" fontId="0" fillId="0" borderId="11" xfId="0" applyNumberFormat="1" applyBorder="1"/>
    <xf numFmtId="0" fontId="5" fillId="0" borderId="31" xfId="0" applyFont="1" applyFill="1" applyBorder="1" applyProtection="1"/>
    <xf numFmtId="0" fontId="14" fillId="0" borderId="11" xfId="0" applyFont="1" applyBorder="1"/>
    <xf numFmtId="0" fontId="7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6" fontId="0" fillId="0" borderId="11" xfId="1" applyFont="1" applyBorder="1"/>
    <xf numFmtId="166" fontId="0" fillId="0" borderId="11" xfId="0" applyNumberFormat="1" applyBorder="1"/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43" fontId="0" fillId="0" borderId="11" xfId="0" applyNumberFormat="1" applyBorder="1"/>
    <xf numFmtId="166" fontId="1" fillId="0" borderId="11" xfId="1" applyFont="1" applyBorder="1"/>
    <xf numFmtId="9" fontId="0" fillId="0" borderId="11" xfId="0" applyNumberFormat="1" applyBorder="1"/>
    <xf numFmtId="170" fontId="0" fillId="0" borderId="11" xfId="0" applyNumberFormat="1" applyBorder="1"/>
    <xf numFmtId="166" fontId="23" fillId="0" borderId="11" xfId="1" applyFont="1" applyFill="1" applyBorder="1" applyProtection="1"/>
    <xf numFmtId="0" fontId="5" fillId="0" borderId="11" xfId="0" applyFont="1" applyFill="1" applyBorder="1" applyProtection="1"/>
    <xf numFmtId="0" fontId="5" fillId="0" borderId="25" xfId="0" applyFont="1" applyFill="1" applyBorder="1" applyProtection="1"/>
    <xf numFmtId="166" fontId="23" fillId="0" borderId="25" xfId="1" applyFont="1" applyFill="1" applyBorder="1" applyAlignment="1" applyProtection="1"/>
    <xf numFmtId="166" fontId="23" fillId="0" borderId="25" xfId="1" applyFont="1" applyFill="1" applyBorder="1" applyProtection="1"/>
    <xf numFmtId="166" fontId="5" fillId="0" borderId="23" xfId="1" applyFont="1" applyFill="1" applyBorder="1" applyProtection="1"/>
    <xf numFmtId="0" fontId="8" fillId="0" borderId="4" xfId="0" applyFont="1" applyBorder="1" applyProtection="1"/>
    <xf numFmtId="166" fontId="8" fillId="0" borderId="34" xfId="1" applyFont="1" applyBorder="1" applyProtection="1"/>
    <xf numFmtId="166" fontId="3" fillId="0" borderId="34" xfId="1" applyFont="1" applyFill="1" applyBorder="1" applyAlignment="1" applyProtection="1"/>
    <xf numFmtId="166" fontId="12" fillId="0" borderId="17" xfId="1" applyFont="1" applyFill="1" applyBorder="1" applyAlignment="1" applyProtection="1"/>
    <xf numFmtId="0" fontId="0" fillId="0" borderId="0" xfId="0" applyBorder="1"/>
    <xf numFmtId="1" fontId="18" fillId="5" borderId="11" xfId="0" applyNumberFormat="1" applyFont="1" applyFill="1" applyBorder="1" applyAlignment="1" applyProtection="1">
      <alignment horizontal="left"/>
    </xf>
    <xf numFmtId="1" fontId="22" fillId="5" borderId="11" xfId="0" applyNumberFormat="1" applyFont="1" applyFill="1" applyBorder="1" applyProtection="1"/>
    <xf numFmtId="0" fontId="24" fillId="0" borderId="4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66" fontId="24" fillId="0" borderId="36" xfId="1" applyFont="1" applyBorder="1"/>
    <xf numFmtId="0" fontId="26" fillId="0" borderId="0" xfId="0" applyFont="1" applyAlignment="1">
      <alignment wrapText="1"/>
    </xf>
    <xf numFmtId="166" fontId="27" fillId="0" borderId="11" xfId="1" applyFont="1" applyBorder="1" applyAlignment="1">
      <alignment horizontal="right" vertical="center" wrapText="1"/>
    </xf>
    <xf numFmtId="43" fontId="27" fillId="0" borderId="11" xfId="0" applyNumberFormat="1" applyFont="1" applyFill="1" applyBorder="1" applyAlignment="1">
      <alignment horizontal="right" vertical="center" wrapText="1"/>
    </xf>
    <xf numFmtId="166" fontId="28" fillId="0" borderId="11" xfId="1" applyFont="1" applyBorder="1" applyAlignment="1">
      <alignment horizontal="right" vertical="center"/>
    </xf>
    <xf numFmtId="166" fontId="0" fillId="8" borderId="0" xfId="1" applyFont="1" applyFill="1"/>
    <xf numFmtId="166" fontId="0" fillId="9" borderId="0" xfId="1" applyFont="1" applyFill="1" applyAlignment="1">
      <alignment horizontal="center"/>
    </xf>
    <xf numFmtId="166" fontId="0" fillId="9" borderId="0" xfId="1" applyFont="1" applyFill="1"/>
    <xf numFmtId="166" fontId="27" fillId="0" borderId="11" xfId="1" applyFont="1" applyBorder="1" applyAlignment="1">
      <alignment horizontal="right" vertical="center"/>
    </xf>
    <xf numFmtId="166" fontId="0" fillId="8" borderId="0" xfId="1" applyFont="1" applyFill="1" applyAlignment="1">
      <alignment horizontal="center" vertical="center"/>
    </xf>
    <xf numFmtId="165" fontId="29" fillId="0" borderId="11" xfId="0" applyNumberFormat="1" applyFont="1" applyBorder="1"/>
    <xf numFmtId="43" fontId="29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center" vertical="center"/>
    </xf>
    <xf numFmtId="171" fontId="27" fillId="0" borderId="11" xfId="0" applyNumberFormat="1" applyFont="1" applyFill="1" applyBorder="1" applyAlignment="1">
      <alignment horizontal="center" vertical="center" wrapText="1"/>
    </xf>
    <xf numFmtId="166" fontId="25" fillId="0" borderId="11" xfId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 wrapText="1"/>
    </xf>
    <xf numFmtId="166" fontId="27" fillId="0" borderId="8" xfId="1" applyFont="1" applyBorder="1" applyAlignment="1">
      <alignment horizontal="right" vertical="center" wrapText="1"/>
    </xf>
    <xf numFmtId="166" fontId="27" fillId="0" borderId="8" xfId="1" applyFont="1" applyBorder="1" applyAlignment="1">
      <alignment horizontal="right" vertical="center"/>
    </xf>
    <xf numFmtId="0" fontId="4" fillId="10" borderId="8" xfId="0" applyFont="1" applyFill="1" applyBorder="1" applyProtection="1"/>
    <xf numFmtId="166" fontId="4" fillId="10" borderId="11" xfId="1" applyNumberFormat="1" applyFont="1" applyFill="1" applyBorder="1" applyProtection="1">
      <protection locked="0"/>
    </xf>
    <xf numFmtId="166" fontId="27" fillId="0" borderId="11" xfId="1" applyFont="1" applyFill="1" applyBorder="1" applyAlignment="1">
      <alignment horizontal="right" vertical="center" wrapText="1"/>
    </xf>
    <xf numFmtId="166" fontId="28" fillId="0" borderId="11" xfId="1" applyFont="1" applyFill="1" applyBorder="1" applyAlignment="1">
      <alignment horizontal="right" vertical="center"/>
    </xf>
    <xf numFmtId="0" fontId="5" fillId="0" borderId="0" xfId="0" applyFont="1" applyFill="1" applyBorder="1" applyProtection="1"/>
    <xf numFmtId="166" fontId="6" fillId="0" borderId="0" xfId="1" applyFont="1" applyBorder="1"/>
    <xf numFmtId="0" fontId="5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justify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protection locked="0"/>
    </xf>
    <xf numFmtId="166" fontId="9" fillId="0" borderId="0" xfId="1" applyFont="1" applyBorder="1"/>
    <xf numFmtId="166" fontId="9" fillId="0" borderId="0" xfId="1" applyFont="1" applyFill="1" applyBorder="1"/>
    <xf numFmtId="1" fontId="18" fillId="2" borderId="4" xfId="4" applyNumberFormat="1" applyFont="1" applyFill="1" applyBorder="1" applyAlignment="1" applyProtection="1">
      <alignment horizontal="left"/>
    </xf>
    <xf numFmtId="0" fontId="4" fillId="0" borderId="48" xfId="0" applyFont="1" applyBorder="1" applyProtection="1"/>
    <xf numFmtId="166" fontId="4" fillId="0" borderId="25" xfId="1" applyFont="1" applyBorder="1" applyProtection="1">
      <protection locked="0"/>
    </xf>
    <xf numFmtId="166" fontId="22" fillId="7" borderId="10" xfId="1" applyNumberFormat="1" applyFont="1" applyFill="1" applyBorder="1" applyProtection="1"/>
    <xf numFmtId="1" fontId="4" fillId="2" borderId="28" xfId="0" applyNumberFormat="1" applyFont="1" applyFill="1" applyBorder="1" applyProtection="1"/>
    <xf numFmtId="166" fontId="4" fillId="2" borderId="16" xfId="1" applyNumberFormat="1" applyFont="1" applyFill="1" applyBorder="1" applyProtection="1"/>
    <xf numFmtId="166" fontId="4" fillId="2" borderId="17" xfId="1" applyNumberFormat="1" applyFont="1" applyFill="1" applyBorder="1" applyProtection="1"/>
    <xf numFmtId="166" fontId="3" fillId="0" borderId="11" xfId="1" applyNumberFormat="1" applyFont="1" applyFill="1" applyBorder="1" applyProtection="1"/>
    <xf numFmtId="0" fontId="19" fillId="0" borderId="8" xfId="0" applyFont="1" applyFill="1" applyBorder="1" applyProtection="1"/>
    <xf numFmtId="1" fontId="22" fillId="0" borderId="7" xfId="0" applyNumberFormat="1" applyFont="1" applyFill="1" applyBorder="1" applyProtection="1"/>
    <xf numFmtId="166" fontId="23" fillId="0" borderId="10" xfId="1" applyNumberFormat="1" applyFont="1" applyFill="1" applyBorder="1" applyProtection="1"/>
    <xf numFmtId="1" fontId="22" fillId="5" borderId="25" xfId="0" applyNumberFormat="1" applyFont="1" applyFill="1" applyBorder="1" applyProtection="1"/>
    <xf numFmtId="1" fontId="5" fillId="2" borderId="42" xfId="0" applyNumberFormat="1" applyFont="1" applyFill="1" applyBorder="1" applyProtection="1"/>
    <xf numFmtId="1" fontId="18" fillId="5" borderId="25" xfId="0" applyNumberFormat="1" applyFont="1" applyFill="1" applyBorder="1" applyAlignment="1" applyProtection="1">
      <alignment horizontal="left"/>
    </xf>
    <xf numFmtId="1" fontId="18" fillId="2" borderId="42" xfId="0" applyNumberFormat="1" applyFont="1" applyFill="1" applyBorder="1" applyAlignment="1" applyProtection="1">
      <alignment horizontal="left"/>
    </xf>
    <xf numFmtId="166" fontId="4" fillId="2" borderId="42" xfId="1" applyNumberFormat="1" applyFont="1" applyFill="1" applyBorder="1" applyProtection="1"/>
    <xf numFmtId="166" fontId="22" fillId="5" borderId="25" xfId="1" applyNumberFormat="1" applyFont="1" applyFill="1" applyBorder="1" applyProtection="1">
      <protection locked="0"/>
    </xf>
    <xf numFmtId="1" fontId="18" fillId="0" borderId="22" xfId="4" applyNumberFormat="1" applyFont="1" applyBorder="1" applyAlignment="1" applyProtection="1">
      <alignment horizontal="left"/>
    </xf>
    <xf numFmtId="0" fontId="3" fillId="0" borderId="48" xfId="0" applyFont="1" applyFill="1" applyBorder="1" applyProtection="1"/>
    <xf numFmtId="166" fontId="3" fillId="0" borderId="25" xfId="1" applyFont="1" applyFill="1" applyBorder="1" applyProtection="1">
      <protection locked="0"/>
    </xf>
    <xf numFmtId="1" fontId="18" fillId="5" borderId="27" xfId="4" applyNumberFormat="1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wrapText="1"/>
    </xf>
    <xf numFmtId="166" fontId="3" fillId="0" borderId="10" xfId="1" applyFont="1" applyFill="1" applyBorder="1" applyProtection="1">
      <protection locked="0"/>
    </xf>
    <xf numFmtId="1" fontId="18" fillId="11" borderId="28" xfId="4" applyNumberFormat="1" applyFont="1" applyFill="1" applyBorder="1" applyAlignment="1" applyProtection="1">
      <alignment horizontal="left"/>
    </xf>
    <xf numFmtId="0" fontId="4" fillId="11" borderId="52" xfId="0" applyFont="1" applyFill="1" applyBorder="1" applyProtection="1"/>
    <xf numFmtId="166" fontId="17" fillId="11" borderId="16" xfId="1" applyFont="1" applyFill="1" applyBorder="1" applyProtection="1">
      <protection locked="0"/>
    </xf>
    <xf numFmtId="166" fontId="17" fillId="11" borderId="17" xfId="1" applyFont="1" applyFill="1" applyBorder="1" applyProtection="1">
      <protection locked="0"/>
    </xf>
    <xf numFmtId="1" fontId="18" fillId="10" borderId="9" xfId="4" applyNumberFormat="1" applyFont="1" applyFill="1" applyBorder="1" applyAlignment="1" applyProtection="1">
      <alignment horizontal="left"/>
    </xf>
    <xf numFmtId="1" fontId="18" fillId="6" borderId="9" xfId="4" applyNumberFormat="1" applyFont="1" applyFill="1" applyBorder="1" applyAlignment="1" applyProtection="1">
      <alignment horizontal="left"/>
    </xf>
    <xf numFmtId="9" fontId="0" fillId="0" borderId="11" xfId="2" applyFont="1" applyBorder="1"/>
    <xf numFmtId="10" fontId="0" fillId="0" borderId="0" xfId="2" applyNumberFormat="1" applyFont="1"/>
    <xf numFmtId="166" fontId="12" fillId="0" borderId="30" xfId="1" applyFont="1" applyFill="1" applyBorder="1" applyAlignment="1" applyProtection="1">
      <alignment wrapText="1"/>
      <protection locked="0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3" fillId="0" borderId="53" xfId="0" applyFont="1" applyFill="1" applyBorder="1" applyProtection="1"/>
    <xf numFmtId="166" fontId="12" fillId="0" borderId="25" xfId="1" applyFont="1" applyFill="1" applyBorder="1" applyProtection="1"/>
    <xf numFmtId="166" fontId="3" fillId="0" borderId="29" xfId="1" applyFont="1" applyFill="1" applyBorder="1" applyProtection="1"/>
    <xf numFmtId="166" fontId="12" fillId="0" borderId="30" xfId="1" applyFont="1" applyFill="1" applyBorder="1" applyAlignment="1" applyProtection="1">
      <alignment horizontal="right" vertical="center" wrapText="1"/>
      <protection locked="0"/>
    </xf>
    <xf numFmtId="166" fontId="12" fillId="0" borderId="39" xfId="1" applyFont="1" applyFill="1" applyBorder="1" applyAlignment="1" applyProtection="1">
      <alignment wrapText="1"/>
      <protection locked="0"/>
    </xf>
    <xf numFmtId="166" fontId="13" fillId="0" borderId="39" xfId="1" applyFont="1" applyFill="1" applyBorder="1" applyAlignment="1" applyProtection="1">
      <alignment wrapText="1"/>
      <protection locked="0"/>
    </xf>
    <xf numFmtId="166" fontId="12" fillId="0" borderId="39" xfId="1" applyFont="1" applyFill="1" applyBorder="1" applyAlignment="1" applyProtection="1">
      <alignment horizontal="center" vertical="center" wrapText="1"/>
      <protection locked="0"/>
    </xf>
    <xf numFmtId="166" fontId="12" fillId="0" borderId="50" xfId="1" applyFont="1" applyFill="1" applyBorder="1" applyAlignment="1" applyProtection="1">
      <alignment wrapText="1"/>
      <protection locked="0"/>
    </xf>
    <xf numFmtId="166" fontId="12" fillId="0" borderId="38" xfId="1" applyFont="1" applyFill="1" applyBorder="1" applyAlignment="1" applyProtection="1">
      <alignment horizontal="center" vertical="center" wrapText="1"/>
      <protection locked="0"/>
    </xf>
    <xf numFmtId="166" fontId="23" fillId="0" borderId="39" xfId="1" applyFont="1" applyFill="1" applyBorder="1" applyAlignment="1" applyProtection="1"/>
    <xf numFmtId="166" fontId="23" fillId="0" borderId="43" xfId="1" applyFont="1" applyFill="1" applyBorder="1" applyAlignment="1" applyProtection="1"/>
    <xf numFmtId="166" fontId="5" fillId="0" borderId="55" xfId="1" applyFont="1" applyFill="1" applyBorder="1" applyProtection="1"/>
    <xf numFmtId="166" fontId="5" fillId="0" borderId="52" xfId="1" applyFont="1" applyFill="1" applyBorder="1" applyAlignment="1" applyProtection="1"/>
    <xf numFmtId="166" fontId="5" fillId="0" borderId="42" xfId="1" applyFont="1" applyFill="1" applyBorder="1" applyAlignment="1" applyProtection="1"/>
    <xf numFmtId="166" fontId="13" fillId="0" borderId="45" xfId="1" applyFont="1" applyFill="1" applyBorder="1" applyAlignment="1" applyProtection="1">
      <alignment wrapText="1"/>
      <protection locked="0"/>
    </xf>
    <xf numFmtId="166" fontId="8" fillId="0" borderId="42" xfId="1" applyFont="1" applyBorder="1" applyProtection="1"/>
    <xf numFmtId="166" fontId="5" fillId="0" borderId="57" xfId="1" applyFont="1" applyFill="1" applyBorder="1" applyProtection="1"/>
    <xf numFmtId="166" fontId="12" fillId="0" borderId="5" xfId="1" applyFont="1" applyFill="1" applyBorder="1" applyAlignment="1" applyProtection="1">
      <alignment wrapText="1"/>
      <protection locked="0"/>
    </xf>
    <xf numFmtId="166" fontId="13" fillId="0" borderId="5" xfId="1" applyFont="1" applyFill="1" applyBorder="1" applyAlignment="1" applyProtection="1">
      <alignment wrapText="1"/>
      <protection locked="0"/>
    </xf>
    <xf numFmtId="166" fontId="12" fillId="0" borderId="24" xfId="1" applyFont="1" applyFill="1" applyBorder="1" applyAlignment="1" applyProtection="1">
      <alignment wrapText="1"/>
      <protection locked="0"/>
    </xf>
    <xf numFmtId="166" fontId="12" fillId="0" borderId="14" xfId="1" applyFont="1" applyFill="1" applyBorder="1" applyAlignment="1" applyProtection="1">
      <alignment wrapText="1"/>
      <protection locked="0"/>
    </xf>
    <xf numFmtId="166" fontId="23" fillId="0" borderId="5" xfId="1" applyFont="1" applyFill="1" applyBorder="1" applyProtection="1"/>
    <xf numFmtId="166" fontId="13" fillId="0" borderId="56" xfId="1" applyFont="1" applyFill="1" applyBorder="1" applyAlignment="1" applyProtection="1">
      <alignment wrapText="1"/>
      <protection locked="0"/>
    </xf>
    <xf numFmtId="166" fontId="12" fillId="0" borderId="11" xfId="1" applyFont="1" applyFill="1" applyBorder="1" applyAlignment="1" applyProtection="1">
      <alignment horizontal="right" vertical="center" wrapText="1"/>
      <protection locked="0"/>
    </xf>
    <xf numFmtId="166" fontId="13" fillId="0" borderId="9" xfId="1" applyFont="1" applyFill="1" applyBorder="1" applyAlignment="1" applyProtection="1">
      <alignment wrapText="1"/>
      <protection locked="0"/>
    </xf>
    <xf numFmtId="166" fontId="23" fillId="0" borderId="22" xfId="1" applyFont="1" applyFill="1" applyBorder="1" applyProtection="1"/>
    <xf numFmtId="166" fontId="8" fillId="0" borderId="35" xfId="1" applyFont="1" applyBorder="1" applyProtection="1"/>
    <xf numFmtId="166" fontId="5" fillId="0" borderId="2" xfId="1" applyFont="1" applyFill="1" applyBorder="1" applyProtection="1"/>
    <xf numFmtId="166" fontId="5" fillId="0" borderId="42" xfId="1" applyFont="1" applyFill="1" applyBorder="1" applyProtection="1"/>
    <xf numFmtId="166" fontId="5" fillId="0" borderId="38" xfId="1" applyFont="1" applyFill="1" applyBorder="1" applyProtection="1"/>
    <xf numFmtId="166" fontId="12" fillId="0" borderId="39" xfId="1" applyFont="1" applyFill="1" applyBorder="1" applyProtection="1">
      <protection locked="0"/>
    </xf>
    <xf numFmtId="166" fontId="12" fillId="0" borderId="43" xfId="1" applyFont="1" applyFill="1" applyBorder="1" applyProtection="1">
      <protection locked="0"/>
    </xf>
    <xf numFmtId="166" fontId="5" fillId="0" borderId="39" xfId="1" applyFont="1" applyFill="1" applyBorder="1" applyProtection="1"/>
    <xf numFmtId="166" fontId="12" fillId="0" borderId="39" xfId="1" applyFont="1" applyFill="1" applyBorder="1"/>
    <xf numFmtId="166" fontId="3" fillId="0" borderId="39" xfId="1" applyFont="1" applyFill="1" applyBorder="1" applyProtection="1">
      <protection locked="0"/>
    </xf>
    <xf numFmtId="166" fontId="5" fillId="0" borderId="7" xfId="1" applyFont="1" applyFill="1" applyBorder="1" applyProtection="1"/>
    <xf numFmtId="166" fontId="12" fillId="0" borderId="5" xfId="1" applyFont="1" applyFill="1" applyBorder="1" applyProtection="1">
      <protection locked="0"/>
    </xf>
    <xf numFmtId="166" fontId="5" fillId="0" borderId="14" xfId="1" applyFont="1" applyFill="1" applyBorder="1" applyProtection="1"/>
    <xf numFmtId="166" fontId="5" fillId="0" borderId="5" xfId="1" applyFont="1" applyFill="1" applyBorder="1" applyProtection="1"/>
    <xf numFmtId="166" fontId="3" fillId="0" borderId="5" xfId="1" applyFont="1" applyFill="1" applyBorder="1" applyProtection="1">
      <protection locked="0"/>
    </xf>
    <xf numFmtId="166" fontId="5" fillId="0" borderId="58" xfId="1" applyFont="1" applyFill="1" applyBorder="1" applyProtection="1"/>
    <xf numFmtId="166" fontId="12" fillId="0" borderId="9" xfId="1" applyFont="1" applyFill="1" applyBorder="1" applyProtection="1">
      <protection locked="0"/>
    </xf>
    <xf numFmtId="166" fontId="3" fillId="0" borderId="59" xfId="1" applyFont="1" applyFill="1" applyBorder="1" applyProtection="1">
      <protection locked="0"/>
    </xf>
    <xf numFmtId="166" fontId="5" fillId="0" borderId="54" xfId="1" applyFont="1" applyFill="1" applyBorder="1" applyProtection="1"/>
    <xf numFmtId="166" fontId="3" fillId="0" borderId="60" xfId="1" applyFont="1" applyFill="1" applyBorder="1" applyProtection="1">
      <protection locked="0"/>
    </xf>
    <xf numFmtId="166" fontId="5" fillId="0" borderId="52" xfId="1" applyFont="1" applyFill="1" applyBorder="1" applyProtection="1"/>
    <xf numFmtId="166" fontId="3" fillId="0" borderId="61" xfId="1" applyFont="1" applyFill="1" applyBorder="1" applyProtection="1">
      <protection locked="0"/>
    </xf>
    <xf numFmtId="167" fontId="12" fillId="0" borderId="30" xfId="1" applyNumberFormat="1" applyFont="1" applyFill="1" applyBorder="1" applyAlignment="1" applyProtection="1">
      <alignment horizontal="right" vertical="center" wrapText="1"/>
      <protection locked="0"/>
    </xf>
    <xf numFmtId="167" fontId="12" fillId="0" borderId="50" xfId="1" applyNumberFormat="1" applyFont="1" applyFill="1" applyBorder="1" applyAlignment="1" applyProtection="1">
      <alignment horizontal="right" vertical="center" wrapText="1"/>
      <protection locked="0"/>
    </xf>
    <xf numFmtId="166" fontId="13" fillId="0" borderId="26" xfId="1" applyFont="1" applyFill="1" applyBorder="1" applyAlignment="1" applyProtection="1">
      <alignment wrapText="1"/>
      <protection locked="0"/>
    </xf>
    <xf numFmtId="166" fontId="12" fillId="0" borderId="24" xfId="1" applyFont="1" applyFill="1" applyBorder="1" applyAlignment="1" applyProtection="1">
      <alignment horizontal="right" vertical="center" wrapText="1"/>
      <protection locked="0"/>
    </xf>
    <xf numFmtId="166" fontId="12" fillId="0" borderId="18" xfId="1" applyFont="1" applyFill="1" applyBorder="1" applyAlignment="1" applyProtection="1"/>
    <xf numFmtId="166" fontId="12" fillId="0" borderId="26" xfId="1" applyFont="1" applyFill="1" applyBorder="1" applyAlignment="1" applyProtection="1"/>
    <xf numFmtId="0" fontId="12" fillId="0" borderId="11" xfId="0" applyFont="1" applyFill="1" applyBorder="1" applyAlignment="1" applyProtection="1">
      <alignment vertical="center" wrapText="1"/>
      <protection locked="0"/>
    </xf>
    <xf numFmtId="166" fontId="5" fillId="0" borderId="54" xfId="1" applyNumberFormat="1" applyFont="1" applyFill="1" applyBorder="1" applyProtection="1">
      <protection locked="0"/>
    </xf>
    <xf numFmtId="0" fontId="0" fillId="0" borderId="57" xfId="0" applyBorder="1"/>
    <xf numFmtId="0" fontId="7" fillId="0" borderId="62" xfId="0" applyFont="1" applyBorder="1" applyAlignment="1" applyProtection="1">
      <alignment horizontal="center" vertical="center" wrapText="1"/>
    </xf>
    <xf numFmtId="166" fontId="13" fillId="0" borderId="19" xfId="1" applyFont="1" applyFill="1" applyBorder="1" applyAlignment="1" applyProtection="1">
      <alignment horizontal="right" vertical="center"/>
    </xf>
    <xf numFmtId="166" fontId="23" fillId="0" borderId="17" xfId="1" applyFont="1" applyFill="1" applyBorder="1" applyAlignment="1" applyProtection="1"/>
    <xf numFmtId="1" fontId="5" fillId="5" borderId="0" xfId="0" applyNumberFormat="1" applyFont="1" applyFill="1" applyBorder="1" applyAlignment="1" applyProtection="1">
      <alignment vertical="top" wrapText="1"/>
    </xf>
    <xf numFmtId="166" fontId="5" fillId="5" borderId="0" xfId="1" applyFont="1" applyFill="1" applyBorder="1" applyAlignment="1" applyProtection="1">
      <alignment vertical="top" wrapText="1"/>
    </xf>
    <xf numFmtId="165" fontId="9" fillId="0" borderId="0" xfId="0" applyNumberFormat="1" applyFont="1" applyProtection="1"/>
    <xf numFmtId="166" fontId="23" fillId="5" borderId="0" xfId="1" applyFont="1" applyFill="1" applyBorder="1" applyAlignment="1" applyProtection="1">
      <alignment vertical="top" wrapText="1"/>
    </xf>
    <xf numFmtId="167" fontId="12" fillId="0" borderId="11" xfId="1" applyNumberFormat="1" applyFont="1" applyFill="1" applyBorder="1" applyAlignment="1" applyProtection="1">
      <alignment horizontal="right" vertical="center" wrapText="1"/>
      <protection locked="0"/>
    </xf>
    <xf numFmtId="166" fontId="12" fillId="0" borderId="11" xfId="1" applyFont="1" applyFill="1" applyBorder="1" applyAlignment="1">
      <alignment horizontal="right" vertical="center"/>
    </xf>
    <xf numFmtId="166" fontId="25" fillId="0" borderId="11" xfId="1" applyFont="1" applyFill="1" applyBorder="1" applyAlignment="1">
      <alignment horizontal="right" vertical="center"/>
    </xf>
    <xf numFmtId="166" fontId="12" fillId="0" borderId="25" xfId="1" applyFont="1" applyFill="1" applyBorder="1" applyAlignment="1" applyProtection="1">
      <alignment wrapText="1"/>
      <protection locked="0"/>
    </xf>
    <xf numFmtId="166" fontId="12" fillId="0" borderId="25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3" fillId="5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4" xfId="0" applyFont="1" applyBorder="1" applyAlignment="1" applyProtection="1">
      <alignment horizontal="center" vertical="top" wrapText="1"/>
    </xf>
    <xf numFmtId="0" fontId="6" fillId="0" borderId="35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7" fillId="0" borderId="45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justify" vertical="top" wrapText="1"/>
    </xf>
    <xf numFmtId="0" fontId="27" fillId="0" borderId="50" xfId="0" applyFont="1" applyBorder="1" applyAlignment="1">
      <alignment horizontal="justify" vertical="top" wrapText="1"/>
    </xf>
    <xf numFmtId="0" fontId="27" fillId="0" borderId="28" xfId="0" applyFont="1" applyBorder="1" applyAlignment="1">
      <alignment horizontal="justify" vertical="top" wrapText="1"/>
    </xf>
    <xf numFmtId="0" fontId="27" fillId="0" borderId="17" xfId="0" applyFont="1" applyBorder="1" applyAlignment="1">
      <alignment horizontal="justify" vertical="top" wrapText="1"/>
    </xf>
    <xf numFmtId="0" fontId="24" fillId="0" borderId="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justify" vertical="top" wrapText="1"/>
    </xf>
    <xf numFmtId="0" fontId="27" fillId="0" borderId="38" xfId="0" applyFont="1" applyBorder="1" applyAlignment="1">
      <alignment horizontal="justify" vertical="top" wrapText="1"/>
    </xf>
    <xf numFmtId="0" fontId="27" fillId="0" borderId="11" xfId="0" applyFont="1" applyBorder="1" applyAlignment="1">
      <alignment horizontal="justify" vertical="top" wrapText="1"/>
    </xf>
    <xf numFmtId="0" fontId="27" fillId="0" borderId="40" xfId="0" applyFont="1" applyBorder="1" applyAlignment="1">
      <alignment horizontal="left" vertical="top" wrapText="1"/>
    </xf>
    <xf numFmtId="0" fontId="27" fillId="0" borderId="41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left" vertical="top" wrapText="1"/>
    </xf>
    <xf numFmtId="0" fontId="27" fillId="0" borderId="43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justify" vertical="top"/>
    </xf>
    <xf numFmtId="0" fontId="27" fillId="0" borderId="3" xfId="0" applyFont="1" applyBorder="1" applyAlignment="1">
      <alignment horizontal="justify" vertical="top"/>
    </xf>
    <xf numFmtId="0" fontId="27" fillId="0" borderId="51" xfId="0" applyFont="1" applyBorder="1" applyAlignment="1">
      <alignment horizontal="left" wrapText="1"/>
    </xf>
    <xf numFmtId="0" fontId="27" fillId="0" borderId="44" xfId="0" applyFont="1" applyBorder="1" applyAlignment="1">
      <alignment horizontal="left"/>
    </xf>
    <xf numFmtId="0" fontId="27" fillId="0" borderId="8" xfId="0" applyFont="1" applyBorder="1" applyAlignment="1">
      <alignment horizontal="left" wrapText="1"/>
    </xf>
    <xf numFmtId="0" fontId="27" fillId="0" borderId="11" xfId="0" applyFont="1" applyBorder="1" applyAlignment="1">
      <alignment horizontal="left" wrapText="1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8">
    <cellStyle name="Millares" xfId="1" builtinId="3"/>
    <cellStyle name="Millares 2" xfId="5"/>
    <cellStyle name="Moneda" xfId="3" builtinId="4"/>
    <cellStyle name="Moneda 2" xfId="7"/>
    <cellStyle name="Normal" xfId="0" builtinId="0"/>
    <cellStyle name="Normal 2" xfId="4"/>
    <cellStyle name="Porcentaje" xfId="2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('Anexo 5-1 Ingresos'!$B$6:$B$8,'Anexo 5-1 Ingresos'!$B$12,'Anexo 5-1 Ingresos'!$B$37,'Anexo 5-1 Ingresos'!$B$56)</c:f>
              <c:strCache>
                <c:ptCount val="6"/>
                <c:pt idx="0">
                  <c:v>INGRESOS PROPIOS</c:v>
                </c:pt>
                <c:pt idx="1">
                  <c:v>INGRESOS CORRIENTES</c:v>
                </c:pt>
                <c:pt idx="2">
                  <c:v>Tributarios</c:v>
                </c:pt>
                <c:pt idx="3">
                  <c:v>No Tributarios</c:v>
                </c:pt>
                <c:pt idx="4">
                  <c:v>RECURSOS DE CAPITAL</c:v>
                </c:pt>
                <c:pt idx="5">
                  <c:v>Aportes de La Nacion</c:v>
                </c:pt>
              </c:strCache>
            </c:strRef>
          </c:cat>
          <c:val>
            <c:numRef>
              <c:f>('Anexo 5-1 Ingresos'!$C$6:$C$8,'Anexo 5-1 Ingresos'!$C$12,'Anexo 5-1 Ingresos'!$C$37,'Anexo 5-1 Ingresos'!$C$56)</c:f>
              <c:numCache>
                <c:formatCode>_ * #,##0.00_ ;_ * \-#,##0.00_ ;_ * "-"??_ ;_ @_ </c:formatCode>
                <c:ptCount val="6"/>
                <c:pt idx="0">
                  <c:v>11737026072</c:v>
                </c:pt>
                <c:pt idx="1">
                  <c:v>7986500000</c:v>
                </c:pt>
                <c:pt idx="2">
                  <c:v>2700000000</c:v>
                </c:pt>
                <c:pt idx="3">
                  <c:v>5286500000</c:v>
                </c:pt>
                <c:pt idx="4">
                  <c:v>3750526072</c:v>
                </c:pt>
                <c:pt idx="5">
                  <c:v>3065869740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('Anexo 5-1 Ingresos'!$B$6:$B$8,'Anexo 5-1 Ingresos'!$B$12,'Anexo 5-1 Ingresos'!$B$37,'Anexo 5-1 Ingresos'!$B$56)</c:f>
              <c:strCache>
                <c:ptCount val="6"/>
                <c:pt idx="0">
                  <c:v>INGRESOS PROPIOS</c:v>
                </c:pt>
                <c:pt idx="1">
                  <c:v>INGRESOS CORRIENTES</c:v>
                </c:pt>
                <c:pt idx="2">
                  <c:v>Tributarios</c:v>
                </c:pt>
                <c:pt idx="3">
                  <c:v>No Tributarios</c:v>
                </c:pt>
                <c:pt idx="4">
                  <c:v>RECURSOS DE CAPITAL</c:v>
                </c:pt>
                <c:pt idx="5">
                  <c:v>Aportes de La Nacion</c:v>
                </c:pt>
              </c:strCache>
            </c:strRef>
          </c:cat>
          <c:val>
            <c:numRef>
              <c:f>('Anexo 5-1 Ingresos'!$D$6:$D$8,'Anexo 5-1 Ingresos'!$D$12,'Anexo 5-1 Ingresos'!$D$37,'Anexo 5-1 Ingresos'!$D$56)</c:f>
              <c:numCache>
                <c:formatCode>_ * #,##0.00_ ;_ * \-#,##0.00_ ;_ * "-"??_ ;_ @_ </c:formatCode>
                <c:ptCount val="6"/>
                <c:pt idx="0">
                  <c:v>5840412093.3600006</c:v>
                </c:pt>
                <c:pt idx="1">
                  <c:v>3512455871.3499999</c:v>
                </c:pt>
                <c:pt idx="2">
                  <c:v>2006261863</c:v>
                </c:pt>
                <c:pt idx="3">
                  <c:v>1506194008.3499999</c:v>
                </c:pt>
                <c:pt idx="4">
                  <c:v>2327956222.0100002</c:v>
                </c:pt>
                <c:pt idx="5">
                  <c:v>1550183295.6900001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14802895812</c:v>
                </c:pt>
                <c:pt idx="1">
                  <c:v>7390595389.0500011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'Anexo 5-1 Ingresos'!$H$55:$H$59</c:f>
              <c:strCache>
                <c:ptCount val="5"/>
                <c:pt idx="0">
                  <c:v>INGRESOS PROPIOS</c:v>
                </c:pt>
                <c:pt idx="1">
                  <c:v>INGRESOS CORRIENTES</c:v>
                </c:pt>
                <c:pt idx="2">
                  <c:v>RECURSOS DE CAPITAL</c:v>
                </c:pt>
                <c:pt idx="3">
                  <c:v>APORTES DE LA NACION</c:v>
                </c:pt>
                <c:pt idx="4">
                  <c:v>TOTAL INGRESOS VIGENCIA</c:v>
                </c:pt>
              </c:strCache>
            </c:strRef>
          </c:cat>
          <c:val>
            <c:numRef>
              <c:f>'Anexo 5-1 Ingresos'!$I$55:$I$59</c:f>
              <c:numCache>
                <c:formatCode>0.00</c:formatCode>
                <c:ptCount val="5"/>
                <c:pt idx="0">
                  <c:v>0.79024919995122833</c:v>
                </c:pt>
                <c:pt idx="3" formatCode="0%">
                  <c:v>0.20975080004877159</c:v>
                </c:pt>
                <c:pt idx="4" formatCode="0%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13920"/>
        <c:axId val="49715456"/>
        <c:axId val="0"/>
      </c:bar3DChart>
      <c:catAx>
        <c:axId val="4971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49715456"/>
        <c:crosses val="autoZero"/>
        <c:auto val="1"/>
        <c:lblAlgn val="ctr"/>
        <c:lblOffset val="100"/>
        <c:noMultiLvlLbl val="0"/>
      </c:catAx>
      <c:valAx>
        <c:axId val="4971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71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91722604142863"/>
          <c:y val="4.0763706620005932E-2"/>
          <c:w val="0.77579575280363211"/>
          <c:h val="0.68446813939924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'Anexo 5-2 Gastos'!$M$5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'Anexo 5-2 Gastos'!$L$6:$L$8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Gastos'!$M$6:$M$8</c:f>
              <c:numCache>
                <c:formatCode>[$$-240A]\ #,##0</c:formatCode>
                <c:ptCount val="3"/>
                <c:pt idx="0">
                  <c:v>8333705170</c:v>
                </c:pt>
                <c:pt idx="1">
                  <c:v>6469190642</c:v>
                </c:pt>
                <c:pt idx="2">
                  <c:v>14802895812</c:v>
                </c:pt>
              </c:numCache>
            </c:numRef>
          </c:val>
        </c:ser>
        <c:ser>
          <c:idx val="1"/>
          <c:order val="1"/>
          <c:tx>
            <c:strRef>
              <c:f>'Anexo 5-2 Gastos'!$N$5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'Anexo 5-2 Gastos'!$L$6:$L$8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Gastos'!$N$6:$N$8</c:f>
              <c:numCache>
                <c:formatCode>[$$-240A]\ #,##0</c:formatCode>
                <c:ptCount val="3"/>
                <c:pt idx="0">
                  <c:v>3774730164.3299999</c:v>
                </c:pt>
                <c:pt idx="1">
                  <c:v>2418363497</c:v>
                </c:pt>
                <c:pt idx="2">
                  <c:v>6193093661.3299999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470848"/>
        <c:axId val="49472640"/>
        <c:axId val="0"/>
      </c:bar3DChart>
      <c:catAx>
        <c:axId val="494708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crossAx val="49472640"/>
        <c:crosses val="autoZero"/>
        <c:auto val="1"/>
        <c:lblAlgn val="ctr"/>
        <c:lblOffset val="100"/>
        <c:noMultiLvlLbl val="0"/>
      </c:catAx>
      <c:valAx>
        <c:axId val="49472640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494708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CO"/>
          </a:p>
        </c:txPr>
      </c:dTable>
    </c:plotArea>
    <c:plotVisOnly val="1"/>
    <c:dispBlanksAs val="gap"/>
    <c:showDLblsOverMax val="0"/>
  </c:chart>
  <c:txPr>
    <a:bodyPr/>
    <a:lstStyle/>
    <a:p>
      <a:pPr>
        <a:defRPr sz="1050"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'Interpretacion de Resultados'!$B$4</c:f>
              <c:strCache>
                <c:ptCount val="1"/>
                <c:pt idx="0">
                  <c:v> $ 14.802.895.812,00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49.92668652750227</c:v>
                </c:pt>
              </c:numCache>
            </c:numRef>
          </c:cat>
          <c:val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49.92668652750227</c:v>
                </c:pt>
              </c:numCache>
            </c:numRef>
          </c:val>
        </c:ser>
        <c:ser>
          <c:idx val="1"/>
          <c:order val="1"/>
          <c:tx>
            <c:strRef>
              <c:f>'Interpretacion de Resultados'!$D$4</c:f>
              <c:strCache>
                <c:ptCount val="1"/>
                <c:pt idx="0">
                  <c:v> $ 7.390.595.389,05 </c:v>
                </c:pt>
              </c:strCache>
            </c:strRef>
          </c:tx>
          <c:invertIfNegative val="0"/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49.92668652750227</c:v>
                </c:pt>
              </c:numCache>
            </c:numRef>
          </c:cat>
          <c:val>
            <c:numRef>
              <c:f>'Interpretacion de Resultados'!$E$8:$F$8</c:f>
              <c:numCache>
                <c:formatCode>_ * #,##0_ ;_ * \-#,##0_ ;_ * "-"??_ ;_ @_ 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510272"/>
        <c:axId val="49511808"/>
        <c:axId val="0"/>
      </c:bar3DChart>
      <c:catAx>
        <c:axId val="49510272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49511808"/>
        <c:crosses val="autoZero"/>
        <c:auto val="1"/>
        <c:lblAlgn val="ctr"/>
        <c:lblOffset val="100"/>
        <c:noMultiLvlLbl val="0"/>
      </c:catAx>
      <c:valAx>
        <c:axId val="49511808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951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Hoja1!$A$1:$A$2</c:f>
              <c:strCache>
                <c:ptCount val="2"/>
                <c:pt idx="0">
                  <c:v>APROPIADO</c:v>
                </c:pt>
                <c:pt idx="1">
                  <c:v>RECAUDADO</c:v>
                </c:pt>
              </c:strCache>
            </c:strRef>
          </c:cat>
          <c:val>
            <c:numRef>
              <c:f>Hoja1!$B$1:$B$2</c:f>
              <c:numCache>
                <c:formatCode>_ * #,##0.00_ ;_ * \-#,##0.00_ ;_ * "-"??_ ;_ @_ </c:formatCode>
                <c:ptCount val="2"/>
                <c:pt idx="0">
                  <c:v>14802895812</c:v>
                </c:pt>
                <c:pt idx="1">
                  <c:v>7390595389.0500011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582016"/>
        <c:axId val="48600192"/>
        <c:axId val="0"/>
      </c:bar3DChart>
      <c:catAx>
        <c:axId val="4858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48600192"/>
        <c:crosses val="autoZero"/>
        <c:auto val="1"/>
        <c:lblAlgn val="ctr"/>
        <c:lblOffset val="100"/>
        <c:noMultiLvlLbl val="0"/>
      </c:catAx>
      <c:valAx>
        <c:axId val="48600192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4858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91722604142863"/>
          <c:y val="4.0763706620005932E-2"/>
          <c:w val="0.77579575280363211"/>
          <c:h val="0.68446813939924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'Anexo 5-2 Gastos'!$M$5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'Anexo 5-2 Gastos'!$L$6:$L$8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Gastos'!$M$6:$M$8</c:f>
              <c:numCache>
                <c:formatCode>[$$-240A]\ #,##0</c:formatCode>
                <c:ptCount val="3"/>
                <c:pt idx="0">
                  <c:v>8333705170</c:v>
                </c:pt>
                <c:pt idx="1">
                  <c:v>6469190642</c:v>
                </c:pt>
                <c:pt idx="2">
                  <c:v>14802895812</c:v>
                </c:pt>
              </c:numCache>
            </c:numRef>
          </c:val>
        </c:ser>
        <c:ser>
          <c:idx val="1"/>
          <c:order val="1"/>
          <c:tx>
            <c:strRef>
              <c:f>'Anexo 5-2 Gastos'!$N$5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'Anexo 5-2 Gastos'!$L$6:$L$8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Gastos'!$N$6:$N$8</c:f>
              <c:numCache>
                <c:formatCode>[$$-240A]\ #,##0</c:formatCode>
                <c:ptCount val="3"/>
                <c:pt idx="0">
                  <c:v>3774730164.3299999</c:v>
                </c:pt>
                <c:pt idx="1">
                  <c:v>2418363497</c:v>
                </c:pt>
                <c:pt idx="2">
                  <c:v>6193093661.3299999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689920"/>
        <c:axId val="48691456"/>
        <c:axId val="0"/>
      </c:bar3DChart>
      <c:catAx>
        <c:axId val="486899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crossAx val="48691456"/>
        <c:crosses val="autoZero"/>
        <c:auto val="1"/>
        <c:lblAlgn val="ctr"/>
        <c:lblOffset val="100"/>
        <c:noMultiLvlLbl val="0"/>
      </c:catAx>
      <c:valAx>
        <c:axId val="48691456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486899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CO"/>
          </a:p>
        </c:txPr>
      </c:dTable>
    </c:plotArea>
    <c:plotVisOnly val="1"/>
    <c:dispBlanksAs val="gap"/>
    <c:showDLblsOverMax val="0"/>
  </c:chart>
  <c:txPr>
    <a:bodyPr/>
    <a:lstStyle/>
    <a:p>
      <a:pPr>
        <a:defRPr sz="1050"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21</xdr:row>
      <xdr:rowOff>123825</xdr:rowOff>
    </xdr:from>
    <xdr:to>
      <xdr:col>10</xdr:col>
      <xdr:colOff>1447800</xdr:colOff>
      <xdr:row>41</xdr:row>
      <xdr:rowOff>47625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5</xdr:row>
      <xdr:rowOff>19050</xdr:rowOff>
    </xdr:from>
    <xdr:to>
      <xdr:col>10</xdr:col>
      <xdr:colOff>914400</xdr:colOff>
      <xdr:row>20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973964</xdr:colOff>
      <xdr:row>61</xdr:row>
      <xdr:rowOff>37027</xdr:rowOff>
    </xdr:from>
    <xdr:to>
      <xdr:col>11</xdr:col>
      <xdr:colOff>583573</xdr:colOff>
      <xdr:row>77</xdr:row>
      <xdr:rowOff>30051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10</xdr:row>
      <xdr:rowOff>85725</xdr:rowOff>
    </xdr:from>
    <xdr:to>
      <xdr:col>16</xdr:col>
      <xdr:colOff>714375</xdr:colOff>
      <xdr:row>30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9525</xdr:rowOff>
    </xdr:from>
    <xdr:to>
      <xdr:col>6</xdr:col>
      <xdr:colOff>685800</xdr:colOff>
      <xdr:row>26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16</xdr:row>
      <xdr:rowOff>28575</xdr:rowOff>
    </xdr:from>
    <xdr:to>
      <xdr:col>15</xdr:col>
      <xdr:colOff>19050</xdr:colOff>
      <xdr:row>33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10</xdr:row>
      <xdr:rowOff>85725</xdr:rowOff>
    </xdr:from>
    <xdr:to>
      <xdr:col>16</xdr:col>
      <xdr:colOff>714375</xdr:colOff>
      <xdr:row>30</xdr:row>
      <xdr:rowOff>57150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34" zoomScale="142" zoomScaleNormal="142" zoomScaleSheetLayoutView="115" workbookViewId="0">
      <selection activeCell="B64" sqref="B64"/>
    </sheetView>
  </sheetViews>
  <sheetFormatPr baseColWidth="10" defaultRowHeight="12.75"/>
  <cols>
    <col min="1" max="1" width="18" customWidth="1"/>
    <col min="2" max="2" width="30.42578125" customWidth="1"/>
    <col min="3" max="3" width="17.85546875" customWidth="1"/>
    <col min="4" max="4" width="17" customWidth="1"/>
    <col min="5" max="5" width="21.7109375" customWidth="1"/>
    <col min="6" max="6" width="17.7109375" customWidth="1"/>
    <col min="8" max="8" width="26.7109375" bestFit="1" customWidth="1"/>
    <col min="9" max="9" width="19.85546875" bestFit="1" customWidth="1"/>
    <col min="10" max="10" width="11.85546875" customWidth="1"/>
    <col min="11" max="11" width="23.7109375" bestFit="1" customWidth="1"/>
    <col min="12" max="12" width="11" customWidth="1"/>
  </cols>
  <sheetData>
    <row r="1" spans="1:12">
      <c r="A1" s="294" t="s">
        <v>56</v>
      </c>
      <c r="B1" s="294"/>
      <c r="C1" s="294"/>
      <c r="D1" s="294"/>
    </row>
    <row r="2" spans="1:12">
      <c r="A2" s="296" t="s">
        <v>57</v>
      </c>
      <c r="B2" s="296"/>
      <c r="C2" s="296"/>
      <c r="D2" s="296"/>
      <c r="E2" s="1"/>
      <c r="F2" s="1"/>
      <c r="G2" s="1"/>
    </row>
    <row r="3" spans="1:12">
      <c r="A3" s="296" t="s">
        <v>66</v>
      </c>
      <c r="B3" s="296"/>
      <c r="C3" s="296"/>
      <c r="D3" s="296"/>
      <c r="E3" s="1"/>
      <c r="F3" s="1"/>
      <c r="G3" s="1"/>
      <c r="H3" s="88" t="s">
        <v>72</v>
      </c>
      <c r="I3" s="88" t="s">
        <v>73</v>
      </c>
      <c r="J3" s="88"/>
    </row>
    <row r="4" spans="1:12">
      <c r="A4" s="296" t="s">
        <v>171</v>
      </c>
      <c r="B4" s="296"/>
      <c r="C4" s="296"/>
      <c r="D4" s="296"/>
      <c r="E4" s="2"/>
      <c r="F4" s="2"/>
      <c r="G4" s="2"/>
      <c r="H4" s="89">
        <f>I50</f>
        <v>14802895812</v>
      </c>
      <c r="I4" s="89">
        <f>D61</f>
        <v>7390595389.0500011</v>
      </c>
      <c r="J4" s="89"/>
    </row>
    <row r="5" spans="1:12">
      <c r="A5" s="123" t="s">
        <v>127</v>
      </c>
      <c r="B5" s="60" t="s">
        <v>2</v>
      </c>
      <c r="C5" s="60" t="s">
        <v>60</v>
      </c>
      <c r="D5" s="60" t="s">
        <v>61</v>
      </c>
    </row>
    <row r="6" spans="1:12">
      <c r="A6" s="112" t="s">
        <v>113</v>
      </c>
      <c r="B6" s="10" t="s">
        <v>3</v>
      </c>
      <c r="C6" s="16">
        <f>C7+C37</f>
        <v>11737026072</v>
      </c>
      <c r="D6" s="16">
        <f>D7+D37</f>
        <v>5840412093.3600006</v>
      </c>
      <c r="E6" s="64">
        <f>(D6/C6)</f>
        <v>0.49760578680939993</v>
      </c>
      <c r="I6" s="61"/>
      <c r="J6" s="61"/>
      <c r="K6" s="61"/>
      <c r="L6" s="64"/>
    </row>
    <row r="7" spans="1:12">
      <c r="A7" s="113" t="s">
        <v>114</v>
      </c>
      <c r="B7" s="11" t="s">
        <v>4</v>
      </c>
      <c r="C7" s="17">
        <f>C8+C12</f>
        <v>7986500000</v>
      </c>
      <c r="D7" s="17">
        <f>D8+D12</f>
        <v>3512455871.3499999</v>
      </c>
      <c r="E7" s="64">
        <f>(D7/C7)</f>
        <v>0.43979914497589684</v>
      </c>
      <c r="I7" s="61"/>
      <c r="J7" s="61"/>
      <c r="K7" s="61"/>
      <c r="L7" s="64"/>
    </row>
    <row r="8" spans="1:12">
      <c r="A8" s="114" t="s">
        <v>115</v>
      </c>
      <c r="B8" s="12" t="s">
        <v>5</v>
      </c>
      <c r="C8" s="18">
        <f>SUM(C9:C11)</f>
        <v>2700000000</v>
      </c>
      <c r="D8" s="18">
        <f>SUM(D9:D11)</f>
        <v>2006261863</v>
      </c>
      <c r="E8" s="64">
        <f>(D8/C8)</f>
        <v>0.74305994925925922</v>
      </c>
      <c r="I8" s="61"/>
      <c r="J8" s="61"/>
      <c r="K8" s="61"/>
      <c r="L8" s="64"/>
    </row>
    <row r="9" spans="1:12">
      <c r="A9" s="115"/>
      <c r="B9" s="13" t="s">
        <v>6</v>
      </c>
      <c r="C9" s="21">
        <v>0</v>
      </c>
      <c r="D9" s="21"/>
    </row>
    <row r="10" spans="1:12">
      <c r="A10" s="111" t="s">
        <v>172</v>
      </c>
      <c r="B10" s="13" t="s">
        <v>59</v>
      </c>
      <c r="C10" s="21">
        <v>2700000000</v>
      </c>
      <c r="D10" s="21">
        <v>2006261863</v>
      </c>
    </row>
    <row r="11" spans="1:12">
      <c r="A11" s="111"/>
      <c r="B11" s="13" t="s">
        <v>7</v>
      </c>
      <c r="C11" s="21">
        <v>0</v>
      </c>
      <c r="D11" s="21"/>
    </row>
    <row r="12" spans="1:12">
      <c r="A12" s="116" t="s">
        <v>102</v>
      </c>
      <c r="B12" s="12" t="s">
        <v>8</v>
      </c>
      <c r="C12" s="18">
        <f>C19+C23+C31+C33</f>
        <v>5286500000</v>
      </c>
      <c r="D12" s="18">
        <f>D19+D23+D31+D33</f>
        <v>1506194008.3499999</v>
      </c>
      <c r="E12" s="64">
        <f>(D12/C12)</f>
        <v>0.28491327122860116</v>
      </c>
    </row>
    <row r="13" spans="1:12">
      <c r="A13" s="111"/>
      <c r="B13" s="14" t="s">
        <v>9</v>
      </c>
      <c r="C13" s="19">
        <f>SUM(C14:C15)</f>
        <v>0</v>
      </c>
      <c r="D13" s="19">
        <f>SUM(D14:D15)</f>
        <v>0</v>
      </c>
    </row>
    <row r="14" spans="1:12">
      <c r="A14" s="111"/>
      <c r="B14" s="13" t="s">
        <v>9</v>
      </c>
      <c r="C14" s="21">
        <v>0</v>
      </c>
      <c r="D14" s="21"/>
    </row>
    <row r="15" spans="1:12" ht="12.75" customHeight="1">
      <c r="A15" s="111"/>
      <c r="B15" s="48" t="s">
        <v>64</v>
      </c>
      <c r="C15" s="21">
        <v>0</v>
      </c>
      <c r="D15" s="21">
        <v>0</v>
      </c>
    </row>
    <row r="16" spans="1:12">
      <c r="A16" s="111"/>
      <c r="B16" s="14" t="s">
        <v>11</v>
      </c>
      <c r="C16" s="22">
        <v>0</v>
      </c>
      <c r="D16" s="22"/>
    </row>
    <row r="17" spans="1:12">
      <c r="A17" s="111"/>
      <c r="B17" s="14" t="s">
        <v>12</v>
      </c>
      <c r="C17" s="22">
        <v>0</v>
      </c>
      <c r="D17" s="22"/>
      <c r="E17">
        <v>4513200000</v>
      </c>
    </row>
    <row r="18" spans="1:12">
      <c r="A18" s="111"/>
      <c r="B18" s="14" t="s">
        <v>13</v>
      </c>
      <c r="C18" s="22">
        <v>0</v>
      </c>
      <c r="D18" s="22"/>
      <c r="E18" s="109">
        <f>C12-E17</f>
        <v>773300000</v>
      </c>
    </row>
    <row r="19" spans="1:12">
      <c r="A19" s="111"/>
      <c r="B19" s="14" t="s">
        <v>14</v>
      </c>
      <c r="C19" s="19">
        <f>SUM(C20:C22)</f>
        <v>3015000000</v>
      </c>
      <c r="D19" s="22">
        <f>SUM(D20:D22)</f>
        <v>1086125909</v>
      </c>
    </row>
    <row r="20" spans="1:12">
      <c r="A20" s="111" t="s">
        <v>118</v>
      </c>
      <c r="B20" s="13" t="s">
        <v>15</v>
      </c>
      <c r="C20" s="198">
        <v>2800000000</v>
      </c>
      <c r="D20" s="21">
        <v>946062808</v>
      </c>
    </row>
    <row r="21" spans="1:12">
      <c r="A21" s="111" t="s">
        <v>126</v>
      </c>
      <c r="B21" s="13" t="s">
        <v>65</v>
      </c>
      <c r="C21" s="21">
        <v>215000000</v>
      </c>
      <c r="D21" s="21">
        <v>140063101</v>
      </c>
    </row>
    <row r="22" spans="1:12">
      <c r="A22" s="111"/>
      <c r="B22" s="13" t="s">
        <v>16</v>
      </c>
      <c r="C22" s="21">
        <v>0</v>
      </c>
      <c r="D22" s="21"/>
    </row>
    <row r="23" spans="1:12">
      <c r="A23" s="111" t="s">
        <v>103</v>
      </c>
      <c r="B23" s="14" t="s">
        <v>97</v>
      </c>
      <c r="C23" s="19">
        <f>SUM(C24:C30)</f>
        <v>1470500000</v>
      </c>
      <c r="D23" s="19">
        <f>SUM(D24:D30)</f>
        <v>329405111.35000002</v>
      </c>
    </row>
    <row r="24" spans="1:12">
      <c r="A24" s="111" t="s">
        <v>104</v>
      </c>
      <c r="B24" s="13" t="s">
        <v>68</v>
      </c>
      <c r="C24" s="21">
        <v>260000000</v>
      </c>
      <c r="D24" s="21">
        <v>29119465</v>
      </c>
      <c r="E24" s="80">
        <f>D24/C24</f>
        <v>0.11199794230769231</v>
      </c>
      <c r="F24" s="109">
        <f>826870760-D12</f>
        <v>-679323248.3499999</v>
      </c>
    </row>
    <row r="25" spans="1:12">
      <c r="A25" s="111"/>
      <c r="B25" s="13" t="s">
        <v>18</v>
      </c>
      <c r="C25" s="21"/>
      <c r="D25" s="21">
        <v>0</v>
      </c>
    </row>
    <row r="26" spans="1:12">
      <c r="A26" s="111" t="s">
        <v>116</v>
      </c>
      <c r="B26" s="13" t="s">
        <v>19</v>
      </c>
      <c r="C26" s="21">
        <v>210000000</v>
      </c>
      <c r="D26" s="21">
        <v>124879727</v>
      </c>
      <c r="E26" s="80">
        <f>D26/C26</f>
        <v>0.59466536666666669</v>
      </c>
    </row>
    <row r="27" spans="1:12">
      <c r="A27" s="111" t="s">
        <v>105</v>
      </c>
      <c r="B27" s="13" t="s">
        <v>173</v>
      </c>
      <c r="C27" s="21">
        <v>500000</v>
      </c>
      <c r="D27" s="21">
        <v>1820000</v>
      </c>
      <c r="E27" s="80"/>
    </row>
    <row r="28" spans="1:12">
      <c r="A28" s="111" t="s">
        <v>106</v>
      </c>
      <c r="B28" s="199" t="s">
        <v>10</v>
      </c>
      <c r="C28" s="21">
        <v>500000000</v>
      </c>
      <c r="D28" s="21">
        <v>111280420.34999999</v>
      </c>
      <c r="E28" s="80"/>
    </row>
    <row r="29" spans="1:12">
      <c r="A29" s="117" t="s">
        <v>117</v>
      </c>
      <c r="B29" s="77" t="s">
        <v>109</v>
      </c>
      <c r="C29" s="78">
        <v>500000000</v>
      </c>
      <c r="D29" s="78">
        <v>62305499</v>
      </c>
      <c r="E29" s="80">
        <f>D29/C29</f>
        <v>0.124610998</v>
      </c>
      <c r="G29" s="80"/>
    </row>
    <row r="30" spans="1:12">
      <c r="A30" s="111"/>
      <c r="B30" s="77" t="s">
        <v>174</v>
      </c>
      <c r="C30" s="78"/>
      <c r="D30" s="78"/>
      <c r="E30" s="80"/>
      <c r="G30" s="80"/>
    </row>
    <row r="31" spans="1:12">
      <c r="A31" s="111" t="s">
        <v>121</v>
      </c>
      <c r="B31" s="14" t="s">
        <v>98</v>
      </c>
      <c r="C31" s="22">
        <f>C32</f>
        <v>600000000</v>
      </c>
      <c r="D31" s="22">
        <f>D32</f>
        <v>81818182</v>
      </c>
      <c r="E31" s="80"/>
      <c r="I31" s="81"/>
      <c r="J31" s="81"/>
      <c r="K31" s="81"/>
      <c r="L31" s="81"/>
    </row>
    <row r="32" spans="1:12" ht="22.5">
      <c r="A32" s="117" t="s">
        <v>107</v>
      </c>
      <c r="B32" s="48" t="s">
        <v>63</v>
      </c>
      <c r="C32" s="21">
        <v>600000000</v>
      </c>
      <c r="D32" s="21">
        <v>81818182</v>
      </c>
      <c r="E32" s="80">
        <f>D32/C32</f>
        <v>0.13636363666666668</v>
      </c>
      <c r="H32" s="81"/>
    </row>
    <row r="33" spans="1:12">
      <c r="A33" s="111" t="s">
        <v>108</v>
      </c>
      <c r="B33" s="14" t="s">
        <v>17</v>
      </c>
      <c r="C33" s="100">
        <f>C34+C36</f>
        <v>201000000</v>
      </c>
      <c r="D33" s="22">
        <f>D34+D35+D36</f>
        <v>8844806</v>
      </c>
      <c r="E33" s="80">
        <f>D33/C33</f>
        <v>4.4004009950248758E-2</v>
      </c>
      <c r="H33" s="81"/>
    </row>
    <row r="34" spans="1:12" ht="22.5">
      <c r="A34" s="111" t="s">
        <v>122</v>
      </c>
      <c r="B34" s="48" t="s">
        <v>143</v>
      </c>
      <c r="C34" s="99">
        <v>200000000</v>
      </c>
      <c r="D34" s="21">
        <v>3313112</v>
      </c>
      <c r="H34" s="81"/>
    </row>
    <row r="35" spans="1:12" ht="22.5">
      <c r="A35" s="111" t="s">
        <v>128</v>
      </c>
      <c r="B35" s="48" t="s">
        <v>125</v>
      </c>
      <c r="C35" s="99">
        <v>0</v>
      </c>
      <c r="D35" s="110">
        <v>5531694</v>
      </c>
      <c r="H35" s="81"/>
    </row>
    <row r="36" spans="1:12">
      <c r="A36" s="111" t="s">
        <v>129</v>
      </c>
      <c r="B36" s="13" t="s">
        <v>17</v>
      </c>
      <c r="C36" s="99">
        <v>1000000</v>
      </c>
      <c r="D36" s="21">
        <v>0</v>
      </c>
      <c r="H36" s="81"/>
    </row>
    <row r="37" spans="1:12">
      <c r="A37" s="219" t="s">
        <v>99</v>
      </c>
      <c r="B37" s="68" t="s">
        <v>20</v>
      </c>
      <c r="C37" s="69">
        <f>+C38+C41+C44+C55+C47+C51</f>
        <v>3750526072</v>
      </c>
      <c r="D37" s="69">
        <f>+D38+D41+D44+D55+D47+D51</f>
        <v>2327956222.0100002</v>
      </c>
      <c r="E37" s="64">
        <f>(D37/C37)</f>
        <v>0.62070125025650003</v>
      </c>
      <c r="H37" s="81"/>
      <c r="I37" s="82"/>
      <c r="J37" s="82"/>
      <c r="K37" s="82"/>
      <c r="L37" s="82"/>
    </row>
    <row r="38" spans="1:12">
      <c r="A38" s="118"/>
      <c r="B38" s="15" t="s">
        <v>21</v>
      </c>
      <c r="C38" s="20">
        <f>SUM(C39:C40)</f>
        <v>0</v>
      </c>
      <c r="D38" s="20">
        <f>SUM(D39:D40)</f>
        <v>0</v>
      </c>
    </row>
    <row r="39" spans="1:12">
      <c r="A39" s="118"/>
      <c r="B39" s="13" t="s">
        <v>22</v>
      </c>
      <c r="C39" s="21">
        <v>0</v>
      </c>
      <c r="D39" s="21"/>
    </row>
    <row r="40" spans="1:12">
      <c r="A40" s="111"/>
      <c r="B40" s="13" t="s">
        <v>23</v>
      </c>
      <c r="C40" s="21">
        <v>0</v>
      </c>
      <c r="D40" s="21"/>
    </row>
    <row r="41" spans="1:12">
      <c r="A41" s="118"/>
      <c r="B41" s="15" t="s">
        <v>24</v>
      </c>
      <c r="C41" s="20">
        <f>SUM(C42:C43)</f>
        <v>0</v>
      </c>
      <c r="D41" s="20">
        <f>SUM(D42:D43)</f>
        <v>0</v>
      </c>
    </row>
    <row r="42" spans="1:12">
      <c r="A42" s="118"/>
      <c r="B42" s="13" t="s">
        <v>22</v>
      </c>
      <c r="C42" s="21">
        <v>0</v>
      </c>
      <c r="D42" s="21"/>
    </row>
    <row r="43" spans="1:12">
      <c r="A43" s="111"/>
      <c r="B43" s="13" t="s">
        <v>23</v>
      </c>
      <c r="C43" s="21">
        <v>0</v>
      </c>
      <c r="D43" s="21"/>
      <c r="H43" s="86"/>
      <c r="I43" s="87" t="s">
        <v>60</v>
      </c>
      <c r="J43" s="87" t="s">
        <v>94</v>
      </c>
      <c r="K43" s="87" t="s">
        <v>61</v>
      </c>
      <c r="L43" s="87" t="s">
        <v>94</v>
      </c>
    </row>
    <row r="44" spans="1:12">
      <c r="A44" s="218" t="s">
        <v>100</v>
      </c>
      <c r="B44" s="179" t="s">
        <v>25</v>
      </c>
      <c r="C44" s="180">
        <v>51000000</v>
      </c>
      <c r="D44" s="180">
        <v>51666113.259999998</v>
      </c>
      <c r="H44" s="83" t="s">
        <v>3</v>
      </c>
      <c r="I44" s="85">
        <f>C6</f>
        <v>11737026072</v>
      </c>
      <c r="J44" s="94">
        <f>I44/I50*100</f>
        <v>79.288716350251917</v>
      </c>
      <c r="K44" s="85">
        <f>D6</f>
        <v>5840412093.3600006</v>
      </c>
      <c r="L44" s="101">
        <f>K44/K50</f>
        <v>0.79024919995122833</v>
      </c>
    </row>
    <row r="45" spans="1:12">
      <c r="A45" s="119" t="s">
        <v>119</v>
      </c>
      <c r="B45" s="15" t="s">
        <v>26</v>
      </c>
      <c r="C45" s="20">
        <f>C46+C47+C48+C49+C50+C520+C51</f>
        <v>3699526072</v>
      </c>
      <c r="D45" s="20">
        <f>D46+D47+D48+D49+D50+D520+D51</f>
        <v>2276290108.75</v>
      </c>
      <c r="E45" s="221">
        <f>D45/C45</f>
        <v>0.61529235487166478</v>
      </c>
      <c r="H45" s="83" t="s">
        <v>4</v>
      </c>
      <c r="I45" s="85">
        <f>C7</f>
        <v>7986500000</v>
      </c>
      <c r="J45" s="94">
        <f>I45/I44*100</f>
        <v>68.045345993161732</v>
      </c>
      <c r="K45" s="85">
        <f>D7</f>
        <v>3512455871.3499999</v>
      </c>
      <c r="L45" s="101">
        <f>K45/K44</f>
        <v>0.60140548564087315</v>
      </c>
    </row>
    <row r="46" spans="1:12">
      <c r="A46" s="118"/>
      <c r="B46" s="13" t="s">
        <v>27</v>
      </c>
      <c r="C46" s="36">
        <v>0</v>
      </c>
      <c r="D46" s="36"/>
      <c r="E46" s="109">
        <f>5737267793-C37</f>
        <v>1986741721</v>
      </c>
      <c r="H46" s="83" t="s">
        <v>5</v>
      </c>
      <c r="I46" s="85">
        <v>2300000000</v>
      </c>
      <c r="J46" s="94">
        <f>I46/I45*100</f>
        <v>28.798597633506539</v>
      </c>
      <c r="K46" s="85">
        <f>D8</f>
        <v>2006261863</v>
      </c>
      <c r="L46" s="101">
        <f>K46/K45</f>
        <v>0.57118493056793918</v>
      </c>
    </row>
    <row r="47" spans="1:12">
      <c r="A47" s="118"/>
      <c r="B47" s="13" t="s">
        <v>28</v>
      </c>
      <c r="C47" s="36">
        <v>1849526072</v>
      </c>
      <c r="D47" s="36">
        <v>1759526072</v>
      </c>
      <c r="H47" s="83" t="s">
        <v>8</v>
      </c>
      <c r="I47" s="85">
        <f>C12</f>
        <v>5286500000</v>
      </c>
      <c r="J47" s="94">
        <f>I47/I45*100</f>
        <v>66.192950604144499</v>
      </c>
      <c r="K47" s="85">
        <f>D12</f>
        <v>1506194008.3499999</v>
      </c>
      <c r="L47" s="101">
        <f>K47/K45</f>
        <v>0.42881506943206082</v>
      </c>
    </row>
    <row r="48" spans="1:12">
      <c r="A48" s="118"/>
      <c r="B48" s="13" t="s">
        <v>29</v>
      </c>
      <c r="C48" s="36">
        <v>0</v>
      </c>
      <c r="D48" s="36"/>
      <c r="H48" s="83" t="s">
        <v>20</v>
      </c>
      <c r="I48" s="85">
        <f>C37</f>
        <v>3750526072</v>
      </c>
      <c r="J48" s="95">
        <f>I48/I44*100</f>
        <v>31.954654006838268</v>
      </c>
      <c r="K48" s="85">
        <f>D37</f>
        <v>2327956222.0100002</v>
      </c>
      <c r="L48" s="101">
        <f>K48/K44</f>
        <v>0.39859451435912674</v>
      </c>
    </row>
    <row r="49" spans="1:12">
      <c r="A49" s="118"/>
      <c r="B49" s="13" t="s">
        <v>30</v>
      </c>
      <c r="C49" s="36">
        <v>0</v>
      </c>
      <c r="D49" s="36"/>
      <c r="H49" s="84" t="s">
        <v>33</v>
      </c>
      <c r="I49" s="85">
        <f>C56</f>
        <v>3065869740</v>
      </c>
      <c r="J49" s="94">
        <f>I49/I50*100</f>
        <v>20.711283649748086</v>
      </c>
      <c r="K49" s="85">
        <f>D56</f>
        <v>1550183295.6900001</v>
      </c>
      <c r="L49" s="101">
        <f>K49/K50</f>
        <v>0.20975080004877159</v>
      </c>
    </row>
    <row r="50" spans="1:12" ht="13.5" thickBot="1">
      <c r="A50" s="208"/>
      <c r="B50" s="209" t="s">
        <v>31</v>
      </c>
      <c r="C50" s="210">
        <v>0</v>
      </c>
      <c r="D50" s="210"/>
      <c r="H50" s="84" t="s">
        <v>35</v>
      </c>
      <c r="I50" s="85">
        <f>C61</f>
        <v>14802895812</v>
      </c>
      <c r="J50" s="85">
        <f>J44+J49</f>
        <v>100</v>
      </c>
      <c r="K50" s="85">
        <f>K44+K49</f>
        <v>7390595389.0500011</v>
      </c>
      <c r="L50" s="101">
        <f>K50/I50*100</f>
        <v>49.92668652750227</v>
      </c>
    </row>
    <row r="51" spans="1:12" ht="13.5" thickBot="1">
      <c r="A51" s="214" t="s">
        <v>119</v>
      </c>
      <c r="B51" s="215" t="s">
        <v>110</v>
      </c>
      <c r="C51" s="216">
        <f>SUM(C52:C54)</f>
        <v>1850000000</v>
      </c>
      <c r="D51" s="217">
        <f>SUM(D52:D54)</f>
        <v>516764036.75</v>
      </c>
      <c r="E51" s="221">
        <f>D51/C51</f>
        <v>0.27933191175675676</v>
      </c>
      <c r="H51" s="106"/>
      <c r="I51" s="107"/>
      <c r="J51" s="107"/>
      <c r="K51" s="107"/>
      <c r="L51" s="108"/>
    </row>
    <row r="52" spans="1:12" ht="22.5">
      <c r="A52" s="211" t="s">
        <v>176</v>
      </c>
      <c r="B52" s="212" t="s">
        <v>111</v>
      </c>
      <c r="C52" s="213">
        <v>650000000</v>
      </c>
      <c r="D52" s="213">
        <v>52320690</v>
      </c>
      <c r="H52" s="106"/>
      <c r="I52" s="107"/>
      <c r="J52" s="107"/>
      <c r="K52" s="107"/>
      <c r="L52" s="108"/>
    </row>
    <row r="53" spans="1:12">
      <c r="A53" s="120" t="s">
        <v>120</v>
      </c>
      <c r="B53" s="13" t="s">
        <v>112</v>
      </c>
      <c r="C53" s="36">
        <v>1200000000</v>
      </c>
      <c r="D53" s="36">
        <v>464443346.75</v>
      </c>
      <c r="I53" s="87" t="s">
        <v>61</v>
      </c>
      <c r="J53" s="107"/>
      <c r="K53" s="107"/>
      <c r="L53" s="108"/>
    </row>
    <row r="54" spans="1:12" ht="22.5">
      <c r="A54" s="121" t="s">
        <v>124</v>
      </c>
      <c r="B54" s="48" t="s">
        <v>123</v>
      </c>
      <c r="C54" s="36"/>
      <c r="D54" s="36">
        <v>0</v>
      </c>
      <c r="H54" s="86"/>
      <c r="J54" s="107"/>
      <c r="K54" s="107"/>
      <c r="L54" s="108"/>
    </row>
    <row r="55" spans="1:12" ht="13.5" thickBot="1">
      <c r="A55" s="121"/>
      <c r="B55" s="192" t="s">
        <v>32</v>
      </c>
      <c r="C55" s="193">
        <v>0</v>
      </c>
      <c r="D55" s="193"/>
      <c r="H55" s="83" t="s">
        <v>3</v>
      </c>
      <c r="I55" s="127">
        <f>L44</f>
        <v>0.79024919995122833</v>
      </c>
      <c r="J55" s="129"/>
    </row>
    <row r="56" spans="1:12" ht="13.5" thickBot="1">
      <c r="A56" s="191" t="s">
        <v>101</v>
      </c>
      <c r="B56" s="195" t="s">
        <v>136</v>
      </c>
      <c r="C56" s="196">
        <f>SUM(C57:C60)</f>
        <v>3065869740</v>
      </c>
      <c r="D56" s="197">
        <f>SUM(D57:D60)</f>
        <v>1550183295.6900001</v>
      </c>
      <c r="E56" s="64">
        <f>(D56/C56)</f>
        <v>0.50562594863863985</v>
      </c>
      <c r="H56" s="83" t="s">
        <v>4</v>
      </c>
      <c r="I56" s="127"/>
      <c r="J56" s="126">
        <f>L45</f>
        <v>0.60140548564087315</v>
      </c>
    </row>
    <row r="57" spans="1:12">
      <c r="A57" s="122" t="s">
        <v>175</v>
      </c>
      <c r="B57" s="200" t="s">
        <v>34</v>
      </c>
      <c r="C57" s="201">
        <v>3065869740</v>
      </c>
      <c r="D57" s="194">
        <v>1550183295.6900001</v>
      </c>
      <c r="H57" s="83" t="s">
        <v>20</v>
      </c>
      <c r="I57" s="128"/>
      <c r="J57" s="129"/>
    </row>
    <row r="58" spans="1:12">
      <c r="A58" s="122"/>
      <c r="B58" s="124" t="s">
        <v>130</v>
      </c>
      <c r="C58" s="125"/>
      <c r="D58" s="125"/>
      <c r="H58" s="84" t="s">
        <v>33</v>
      </c>
      <c r="I58" s="128">
        <f>L49</f>
        <v>0.20975080004877159</v>
      </c>
      <c r="J58" s="129"/>
    </row>
    <row r="59" spans="1:12">
      <c r="A59" s="157"/>
      <c r="B59" s="158" t="s">
        <v>132</v>
      </c>
      <c r="C59" s="125"/>
      <c r="D59" s="125"/>
      <c r="H59" s="84" t="s">
        <v>35</v>
      </c>
      <c r="I59" s="220">
        <f>I55+I58</f>
        <v>0.99999999999999989</v>
      </c>
      <c r="J59" s="129"/>
    </row>
    <row r="60" spans="1:12" ht="13.5" thickBot="1">
      <c r="A60" s="204"/>
      <c r="B60" s="202" t="s">
        <v>141</v>
      </c>
      <c r="C60" s="207"/>
      <c r="D60" s="207"/>
      <c r="H60" s="106"/>
      <c r="I60" s="80"/>
      <c r="J60" s="156"/>
    </row>
    <row r="61" spans="1:12" ht="13.5" thickBot="1">
      <c r="A61" s="205"/>
      <c r="B61" s="203" t="s">
        <v>139</v>
      </c>
      <c r="C61" s="206">
        <f>+C6+C56</f>
        <v>14802895812</v>
      </c>
      <c r="D61" s="206">
        <f>+D6+D56</f>
        <v>7390595389.0500011</v>
      </c>
      <c r="E61" s="64">
        <f>(D61/C61)</f>
        <v>0.49926686527502268</v>
      </c>
    </row>
    <row r="62" spans="1:12" ht="13.5" customHeight="1">
      <c r="A62" s="295"/>
      <c r="B62" s="295"/>
      <c r="C62" s="295"/>
      <c r="D62" s="295"/>
      <c r="H62" s="61"/>
    </row>
    <row r="63" spans="1:12">
      <c r="A63" s="2"/>
      <c r="B63" s="2"/>
      <c r="C63" s="2"/>
      <c r="D63" s="2"/>
    </row>
    <row r="64" spans="1:12">
      <c r="A64" s="2"/>
      <c r="B64" s="2"/>
      <c r="C64" s="104"/>
      <c r="D64" s="2"/>
    </row>
    <row r="65" spans="1:5">
      <c r="A65" s="2"/>
      <c r="B65" s="2"/>
      <c r="C65" s="104"/>
      <c r="D65" s="104"/>
      <c r="E65" s="103"/>
    </row>
    <row r="66" spans="1:5">
      <c r="A66" s="2"/>
      <c r="B66" s="2"/>
      <c r="C66" s="2"/>
      <c r="D66" s="2"/>
    </row>
    <row r="67" spans="1:5" ht="25.5">
      <c r="A67" s="2"/>
      <c r="B67" s="2"/>
      <c r="C67" s="2"/>
      <c r="D67" s="105"/>
    </row>
    <row r="68" spans="1:5">
      <c r="A68" s="2"/>
      <c r="B68" s="2"/>
      <c r="C68" s="2"/>
      <c r="D68" s="2"/>
    </row>
  </sheetData>
  <mergeCells count="5">
    <mergeCell ref="A1:D1"/>
    <mergeCell ref="A62:D62"/>
    <mergeCell ref="A2:D2"/>
    <mergeCell ref="A3:D3"/>
    <mergeCell ref="A4:D4"/>
  </mergeCells>
  <phoneticPr fontId="9" type="noConversion"/>
  <printOptions horizontalCentered="1" verticalCentered="1"/>
  <pageMargins left="0.98425196850393704" right="0.98425196850393704" top="0.98425196850393704" bottom="0.98425196850393704" header="0" footer="0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zoomScaleNormal="100" zoomScaleSheetLayoutView="100" workbookViewId="0">
      <selection sqref="A1:J49"/>
    </sheetView>
  </sheetViews>
  <sheetFormatPr baseColWidth="10" defaultRowHeight="12.75"/>
  <cols>
    <col min="1" max="1" width="42" customWidth="1"/>
    <col min="2" max="2" width="15.42578125" customWidth="1"/>
    <col min="3" max="3" width="15.85546875" customWidth="1"/>
    <col min="4" max="4" width="15.7109375" customWidth="1"/>
    <col min="5" max="5" width="16.28515625" customWidth="1"/>
    <col min="6" max="6" width="15.5703125" customWidth="1"/>
    <col min="7" max="7" width="16.5703125" customWidth="1"/>
    <col min="8" max="8" width="18" customWidth="1"/>
    <col min="9" max="9" width="17.85546875" customWidth="1"/>
    <col min="10" max="10" width="15.42578125" customWidth="1"/>
    <col min="11" max="11" width="20.7109375" customWidth="1"/>
    <col min="12" max="12" width="23.5703125" customWidth="1"/>
    <col min="13" max="13" width="15.28515625" customWidth="1"/>
    <col min="14" max="14" width="17.42578125" customWidth="1"/>
    <col min="15" max="15" width="9.42578125" customWidth="1"/>
  </cols>
  <sheetData>
    <row r="1" spans="1:15" ht="13.5" thickBot="1">
      <c r="A1" s="297" t="s">
        <v>55</v>
      </c>
      <c r="B1" s="297"/>
      <c r="C1" s="297"/>
      <c r="D1" s="297"/>
      <c r="E1" s="297"/>
      <c r="F1" s="297"/>
      <c r="G1" s="297"/>
      <c r="H1" s="297"/>
      <c r="I1" s="297"/>
    </row>
    <row r="2" spans="1:15" ht="13.5" thickBot="1">
      <c r="A2" s="305" t="s">
        <v>1</v>
      </c>
      <c r="B2" s="306"/>
      <c r="C2" s="306"/>
      <c r="D2" s="306"/>
      <c r="E2" s="306"/>
      <c r="F2" s="306"/>
      <c r="G2" s="306"/>
      <c r="H2" s="306"/>
      <c r="I2" s="306"/>
      <c r="J2" s="307"/>
    </row>
    <row r="3" spans="1:15" ht="13.5" thickBot="1">
      <c r="A3" s="305" t="s">
        <v>66</v>
      </c>
      <c r="B3" s="306"/>
      <c r="C3" s="306"/>
      <c r="D3" s="306"/>
      <c r="E3" s="306"/>
      <c r="F3" s="306"/>
      <c r="G3" s="306"/>
      <c r="H3" s="306"/>
      <c r="I3" s="306"/>
      <c r="J3" s="307"/>
    </row>
    <row r="4" spans="1:15" ht="13.5" thickBot="1">
      <c r="A4" s="3" t="s">
        <v>142</v>
      </c>
      <c r="B4" s="4"/>
      <c r="C4" s="79"/>
      <c r="D4" s="79"/>
      <c r="E4" s="306" t="s">
        <v>180</v>
      </c>
      <c r="F4" s="306"/>
      <c r="G4" s="306"/>
      <c r="H4" s="4"/>
      <c r="I4" s="4"/>
      <c r="J4" s="281"/>
    </row>
    <row r="5" spans="1:15" ht="33" customHeight="1" thickBot="1">
      <c r="A5" s="298" t="s">
        <v>36</v>
      </c>
      <c r="B5" s="302" t="s">
        <v>37</v>
      </c>
      <c r="C5" s="303"/>
      <c r="D5" s="304"/>
      <c r="E5" s="302" t="s">
        <v>38</v>
      </c>
      <c r="F5" s="303"/>
      <c r="G5" s="304"/>
      <c r="H5" s="302" t="s">
        <v>178</v>
      </c>
      <c r="I5" s="303"/>
      <c r="J5" s="304"/>
      <c r="M5" s="136" t="s">
        <v>0</v>
      </c>
      <c r="N5" s="136" t="s">
        <v>62</v>
      </c>
      <c r="O5" s="137" t="s">
        <v>94</v>
      </c>
    </row>
    <row r="6" spans="1:15" ht="21.75" customHeight="1" thickBot="1">
      <c r="A6" s="299"/>
      <c r="B6" s="223" t="s">
        <v>0</v>
      </c>
      <c r="C6" s="224" t="s">
        <v>62</v>
      </c>
      <c r="D6" s="225" t="s">
        <v>177</v>
      </c>
      <c r="E6" s="223" t="s">
        <v>0</v>
      </c>
      <c r="F6" s="224" t="s">
        <v>62</v>
      </c>
      <c r="G6" s="225" t="s">
        <v>177</v>
      </c>
      <c r="H6" s="223" t="s">
        <v>0</v>
      </c>
      <c r="I6" s="224" t="s">
        <v>62</v>
      </c>
      <c r="J6" s="282" t="s">
        <v>177</v>
      </c>
      <c r="L6" s="5" t="s">
        <v>70</v>
      </c>
      <c r="M6" s="133">
        <f>H23</f>
        <v>8333705170</v>
      </c>
      <c r="N6" s="133">
        <f>I23</f>
        <v>3774730164.3299999</v>
      </c>
      <c r="O6" s="101">
        <f>N6/M6*100</f>
        <v>45.294740902503037</v>
      </c>
    </row>
    <row r="7" spans="1:15" ht="13.5" thickBot="1">
      <c r="A7" s="5" t="s">
        <v>39</v>
      </c>
      <c r="B7" s="35">
        <f>842350000+253444598</f>
        <v>1095794598</v>
      </c>
      <c r="C7" s="35">
        <v>511015490.25999999</v>
      </c>
      <c r="D7" s="35">
        <v>348783112.25999999</v>
      </c>
      <c r="E7" s="35">
        <f>2649000000+43514000</f>
        <v>2692514000</v>
      </c>
      <c r="F7" s="98">
        <v>1305033056.74</v>
      </c>
      <c r="G7" s="280">
        <v>1305033056.74</v>
      </c>
      <c r="H7" s="26">
        <f t="shared" ref="H7:H23" si="0">+B7+E7</f>
        <v>3788308598</v>
      </c>
      <c r="I7" s="26">
        <f t="shared" ref="I7:J7" si="1">+C7+F7</f>
        <v>1816048547</v>
      </c>
      <c r="J7" s="26">
        <f t="shared" si="1"/>
        <v>1653816169</v>
      </c>
      <c r="K7" s="64"/>
      <c r="L7" s="134" t="s">
        <v>71</v>
      </c>
      <c r="M7" s="133">
        <f>H25</f>
        <v>6469190642</v>
      </c>
      <c r="N7" s="133">
        <f>I25</f>
        <v>2418363497</v>
      </c>
      <c r="O7" s="101">
        <f>N7/M7*100</f>
        <v>37.382782960502524</v>
      </c>
    </row>
    <row r="8" spans="1:15" ht="13.5" thickBot="1">
      <c r="A8" s="23" t="s">
        <v>40</v>
      </c>
      <c r="B8" s="27">
        <f>B9+B10</f>
        <v>3171890832</v>
      </c>
      <c r="C8" s="27">
        <f>C9+C10</f>
        <v>1553677689.3299999</v>
      </c>
      <c r="D8" s="255">
        <f>D9+D10</f>
        <v>1098641009.1300001</v>
      </c>
      <c r="E8" s="266">
        <f>SUM(E9:E10)</f>
        <v>373355740</v>
      </c>
      <c r="F8" s="261">
        <f>F9+F10</f>
        <v>144874638</v>
      </c>
      <c r="G8" s="261">
        <f t="shared" ref="G8" si="2">G9+G10</f>
        <v>19874638</v>
      </c>
      <c r="H8" s="27">
        <f t="shared" si="0"/>
        <v>3545246572</v>
      </c>
      <c r="I8" s="28">
        <f t="shared" ref="I8:I23" si="3">+C8+F8</f>
        <v>1698552327.3299999</v>
      </c>
      <c r="J8" s="26">
        <f t="shared" ref="J8:J23" si="4">+D8+G8</f>
        <v>1118515647.1300001</v>
      </c>
      <c r="L8" s="135" t="s">
        <v>69</v>
      </c>
      <c r="M8" s="133">
        <f>H49</f>
        <v>14802895812</v>
      </c>
      <c r="N8" s="133">
        <f>I49</f>
        <v>6193093661.3299999</v>
      </c>
      <c r="O8" s="101">
        <f>N8/M8*100</f>
        <v>41.837041481502254</v>
      </c>
    </row>
    <row r="9" spans="1:15" ht="14.25" thickBot="1">
      <c r="A9" s="6" t="s">
        <v>58</v>
      </c>
      <c r="B9" s="49">
        <f>2285000000+857890832</f>
        <v>3142890832</v>
      </c>
      <c r="C9" s="49">
        <v>1553677689.3299999</v>
      </c>
      <c r="D9" s="256">
        <v>1098641009.1300001</v>
      </c>
      <c r="E9" s="262">
        <f>314805740</f>
        <v>314805740</v>
      </c>
      <c r="F9" s="49">
        <v>125000000</v>
      </c>
      <c r="G9" s="49"/>
      <c r="H9" s="39">
        <f t="shared" si="0"/>
        <v>3457696572</v>
      </c>
      <c r="I9" s="30">
        <f t="shared" si="3"/>
        <v>1678677689.3299999</v>
      </c>
      <c r="J9" s="26">
        <f t="shared" si="4"/>
        <v>1098641009.1300001</v>
      </c>
    </row>
    <row r="10" spans="1:15" ht="14.25" thickBot="1">
      <c r="A10" s="226" t="s">
        <v>41</v>
      </c>
      <c r="B10" s="49">
        <v>29000000</v>
      </c>
      <c r="C10" s="49">
        <v>0</v>
      </c>
      <c r="D10" s="257">
        <v>0</v>
      </c>
      <c r="E10" s="262">
        <f>51000000+7550000</f>
        <v>58550000</v>
      </c>
      <c r="F10" s="49">
        <v>19874638</v>
      </c>
      <c r="G10" s="49">
        <v>19874638</v>
      </c>
      <c r="H10" s="227">
        <f t="shared" si="0"/>
        <v>87550000</v>
      </c>
      <c r="I10" s="228">
        <f t="shared" si="3"/>
        <v>19874638</v>
      </c>
      <c r="J10" s="26">
        <f t="shared" si="4"/>
        <v>19874638</v>
      </c>
    </row>
    <row r="11" spans="1:15" ht="13.5" thickBot="1">
      <c r="A11" s="147" t="s">
        <v>42</v>
      </c>
      <c r="B11" s="27">
        <f>+B12+B15+B18</f>
        <v>1000150000</v>
      </c>
      <c r="C11" s="27">
        <f>+C12+C15</f>
        <v>247242290</v>
      </c>
      <c r="D11" s="258">
        <f>+D12+D15</f>
        <v>247242290</v>
      </c>
      <c r="E11" s="263">
        <f>+E12+E15+E18</f>
        <v>0</v>
      </c>
      <c r="F11" s="31">
        <f>+F12+F15+F18</f>
        <v>0</v>
      </c>
      <c r="G11" s="31">
        <f t="shared" ref="G11" si="5">+G12+G15+G18</f>
        <v>0</v>
      </c>
      <c r="H11" s="31">
        <f t="shared" si="0"/>
        <v>1000150000</v>
      </c>
      <c r="I11" s="31">
        <f t="shared" si="3"/>
        <v>247242290</v>
      </c>
      <c r="J11" s="26">
        <f t="shared" si="4"/>
        <v>247242290</v>
      </c>
    </row>
    <row r="12" spans="1:15" ht="13.5" thickBot="1">
      <c r="A12" s="7" t="s">
        <v>43</v>
      </c>
      <c r="B12" s="31">
        <f>SUM(B13:B14)</f>
        <v>972150000</v>
      </c>
      <c r="C12" s="31">
        <f>SUM(C13+C14)</f>
        <v>247242290</v>
      </c>
      <c r="D12" s="258">
        <f>SUM(D13+D14)</f>
        <v>247242290</v>
      </c>
      <c r="E12" s="264">
        <f>SUM(E13:E14)</f>
        <v>0</v>
      </c>
      <c r="F12" s="31">
        <f>SUM(F13:F14)</f>
        <v>0</v>
      </c>
      <c r="G12" s="31">
        <f t="shared" ref="G12" si="6">SUM(G13:G14)</f>
        <v>0</v>
      </c>
      <c r="H12" s="31">
        <f t="shared" si="0"/>
        <v>972150000</v>
      </c>
      <c r="I12" s="32">
        <f t="shared" si="3"/>
        <v>247242290</v>
      </c>
      <c r="J12" s="26">
        <f t="shared" si="4"/>
        <v>247242290</v>
      </c>
    </row>
    <row r="13" spans="1:15" ht="14.25" thickBot="1">
      <c r="A13" s="6" t="s">
        <v>45</v>
      </c>
      <c r="B13" s="49">
        <v>972150000</v>
      </c>
      <c r="C13" s="49">
        <v>247242290</v>
      </c>
      <c r="D13" s="256">
        <v>247242290</v>
      </c>
      <c r="E13" s="262">
        <v>0</v>
      </c>
      <c r="F13" s="49">
        <v>0</v>
      </c>
      <c r="G13" s="49"/>
      <c r="H13" s="39">
        <f t="shared" si="0"/>
        <v>972150000</v>
      </c>
      <c r="I13" s="30">
        <f t="shared" si="3"/>
        <v>247242290</v>
      </c>
      <c r="J13" s="26">
        <f t="shared" si="4"/>
        <v>247242290</v>
      </c>
    </row>
    <row r="14" spans="1:15" ht="14.25" thickBot="1">
      <c r="A14" s="6" t="s">
        <v>67</v>
      </c>
      <c r="B14" s="49">
        <v>0</v>
      </c>
      <c r="C14" s="66">
        <v>0</v>
      </c>
      <c r="D14" s="259"/>
      <c r="E14" s="262">
        <v>0</v>
      </c>
      <c r="F14" s="49">
        <v>0</v>
      </c>
      <c r="G14" s="49"/>
      <c r="H14" s="39">
        <f t="shared" si="0"/>
        <v>0</v>
      </c>
      <c r="I14" s="40">
        <f t="shared" si="3"/>
        <v>0</v>
      </c>
      <c r="J14" s="26">
        <f t="shared" si="4"/>
        <v>0</v>
      </c>
    </row>
    <row r="15" spans="1:15" ht="14.25" thickBot="1">
      <c r="A15" s="7" t="s">
        <v>46</v>
      </c>
      <c r="B15" s="31">
        <f>SUM(B16:B17)</f>
        <v>0</v>
      </c>
      <c r="C15" s="31">
        <f>SUM(C16:C17)</f>
        <v>0</v>
      </c>
      <c r="D15" s="258"/>
      <c r="E15" s="264">
        <f>SUM(E16:E17)</f>
        <v>0</v>
      </c>
      <c r="F15" s="31">
        <f>SUM(F16:F17)</f>
        <v>0</v>
      </c>
      <c r="G15" s="31"/>
      <c r="H15" s="39">
        <f t="shared" si="0"/>
        <v>0</v>
      </c>
      <c r="I15" s="32">
        <f t="shared" si="3"/>
        <v>0</v>
      </c>
      <c r="J15" s="26">
        <f t="shared" si="4"/>
        <v>0</v>
      </c>
    </row>
    <row r="16" spans="1:15" ht="14.25" thickBot="1">
      <c r="A16" s="6" t="s">
        <v>47</v>
      </c>
      <c r="B16" s="36">
        <v>0</v>
      </c>
      <c r="C16" s="36">
        <v>0</v>
      </c>
      <c r="D16" s="260"/>
      <c r="E16" s="265">
        <v>0</v>
      </c>
      <c r="F16" s="36">
        <v>0</v>
      </c>
      <c r="G16" s="36"/>
      <c r="H16" s="39">
        <f t="shared" si="0"/>
        <v>0</v>
      </c>
      <c r="I16" s="30">
        <f t="shared" si="3"/>
        <v>0</v>
      </c>
      <c r="J16" s="26">
        <f t="shared" si="4"/>
        <v>0</v>
      </c>
      <c r="K16" s="109">
        <f>H7+H8+H11</f>
        <v>8333705170</v>
      </c>
    </row>
    <row r="17" spans="1:12" ht="14.25" thickBot="1">
      <c r="A17" s="6" t="s">
        <v>48</v>
      </c>
      <c r="B17" s="36">
        <v>0</v>
      </c>
      <c r="C17" s="36">
        <v>0</v>
      </c>
      <c r="D17" s="260"/>
      <c r="E17" s="265">
        <v>0</v>
      </c>
      <c r="F17" s="36">
        <v>0</v>
      </c>
      <c r="G17" s="36"/>
      <c r="H17" s="39">
        <f t="shared" si="0"/>
        <v>0</v>
      </c>
      <c r="I17" s="30">
        <f t="shared" si="3"/>
        <v>0</v>
      </c>
      <c r="J17" s="26">
        <f t="shared" si="4"/>
        <v>0</v>
      </c>
    </row>
    <row r="18" spans="1:12" ht="13.5" thickBot="1">
      <c r="A18" s="7" t="s">
        <v>49</v>
      </c>
      <c r="B18" s="31">
        <f>B19+B21+B22</f>
        <v>28000000</v>
      </c>
      <c r="C18" s="31">
        <f>+C19+C21+C22</f>
        <v>12887000</v>
      </c>
      <c r="D18" s="258">
        <f>+D19+D21+D22</f>
        <v>12887000</v>
      </c>
      <c r="E18" s="264">
        <f>+E19+E22</f>
        <v>0</v>
      </c>
      <c r="F18" s="31">
        <f>+F19+F22</f>
        <v>0</v>
      </c>
      <c r="G18" s="31">
        <f t="shared" ref="G18" si="7">+G19+G22</f>
        <v>0</v>
      </c>
      <c r="H18" s="31">
        <f t="shared" si="0"/>
        <v>28000000</v>
      </c>
      <c r="I18" s="31">
        <f t="shared" si="3"/>
        <v>12887000</v>
      </c>
      <c r="J18" s="26">
        <f t="shared" si="4"/>
        <v>12887000</v>
      </c>
    </row>
    <row r="19" spans="1:12" ht="13.5" thickBot="1">
      <c r="A19" s="7" t="s">
        <v>50</v>
      </c>
      <c r="B19" s="31">
        <f>B20</f>
        <v>0</v>
      </c>
      <c r="C19" s="31">
        <f>+C20</f>
        <v>0</v>
      </c>
      <c r="D19" s="258"/>
      <c r="E19" s="264">
        <f>+E20</f>
        <v>0</v>
      </c>
      <c r="F19" s="31">
        <f>+F20</f>
        <v>0</v>
      </c>
      <c r="G19" s="31"/>
      <c r="H19" s="31">
        <f t="shared" si="0"/>
        <v>0</v>
      </c>
      <c r="I19" s="32">
        <f t="shared" si="3"/>
        <v>0</v>
      </c>
      <c r="J19" s="26">
        <f t="shared" si="4"/>
        <v>0</v>
      </c>
    </row>
    <row r="20" spans="1:12" ht="13.5" thickBot="1">
      <c r="A20" s="6" t="s">
        <v>51</v>
      </c>
      <c r="B20" s="36"/>
      <c r="C20" s="36"/>
      <c r="D20" s="260"/>
      <c r="E20" s="265">
        <v>0</v>
      </c>
      <c r="F20" s="36">
        <v>0</v>
      </c>
      <c r="G20" s="36"/>
      <c r="H20" s="29">
        <f t="shared" si="0"/>
        <v>0</v>
      </c>
      <c r="I20" s="29">
        <f t="shared" si="3"/>
        <v>0</v>
      </c>
      <c r="J20" s="26">
        <f t="shared" si="4"/>
        <v>0</v>
      </c>
    </row>
    <row r="21" spans="1:12" ht="14.25" thickBot="1">
      <c r="A21" s="6" t="s">
        <v>44</v>
      </c>
      <c r="B21" s="49">
        <v>11000000</v>
      </c>
      <c r="C21" s="49">
        <v>0</v>
      </c>
      <c r="D21" s="256">
        <v>0</v>
      </c>
      <c r="E21" s="267">
        <v>0</v>
      </c>
      <c r="F21" s="49">
        <v>0</v>
      </c>
      <c r="G21" s="49"/>
      <c r="H21" s="39">
        <f t="shared" si="0"/>
        <v>11000000</v>
      </c>
      <c r="I21" s="30">
        <f t="shared" si="3"/>
        <v>0</v>
      </c>
      <c r="J21" s="26">
        <f t="shared" si="4"/>
        <v>0</v>
      </c>
    </row>
    <row r="22" spans="1:12" ht="14.25" thickBot="1">
      <c r="A22" s="8" t="s">
        <v>179</v>
      </c>
      <c r="B22" s="50">
        <v>17000000</v>
      </c>
      <c r="C22" s="37">
        <v>12887000</v>
      </c>
      <c r="D22" s="268">
        <v>12887000</v>
      </c>
      <c r="E22" s="272">
        <v>0</v>
      </c>
      <c r="F22" s="270">
        <v>0</v>
      </c>
      <c r="G22" s="37"/>
      <c r="H22" s="41">
        <f t="shared" si="0"/>
        <v>17000000</v>
      </c>
      <c r="I22" s="41">
        <f t="shared" si="3"/>
        <v>12887000</v>
      </c>
      <c r="J22" s="26">
        <f t="shared" si="4"/>
        <v>12887000</v>
      </c>
    </row>
    <row r="23" spans="1:12" ht="13.5" thickBot="1">
      <c r="A23" s="5" t="s">
        <v>52</v>
      </c>
      <c r="B23" s="26">
        <f>B7+B8+B11</f>
        <v>5267835430</v>
      </c>
      <c r="C23" s="26">
        <f>+C7+C8+C11+C18</f>
        <v>2324822469.5900002</v>
      </c>
      <c r="D23" s="269">
        <f>+D7+D8+D11+D18</f>
        <v>1707553411.3900001</v>
      </c>
      <c r="E23" s="254">
        <f>+E7+E8+E11</f>
        <v>3065869740</v>
      </c>
      <c r="F23" s="271">
        <f>F7+F8</f>
        <v>1449907694.74</v>
      </c>
      <c r="G23" s="271">
        <f t="shared" ref="G23" si="8">G7+G8</f>
        <v>1324907694.74</v>
      </c>
      <c r="H23" s="26">
        <f t="shared" si="0"/>
        <v>8333705170</v>
      </c>
      <c r="I23" s="26">
        <f t="shared" si="3"/>
        <v>3774730164.3299999</v>
      </c>
      <c r="J23" s="26">
        <f t="shared" si="4"/>
        <v>3032461106.1300001</v>
      </c>
      <c r="K23" s="64">
        <f>I23/H23</f>
        <v>0.45294740902503033</v>
      </c>
    </row>
    <row r="24" spans="1:12" ht="13.5" thickBot="1">
      <c r="A24" s="24"/>
      <c r="B24" s="33"/>
      <c r="C24" s="33"/>
      <c r="D24" s="33"/>
      <c r="E24" s="33"/>
      <c r="F24" s="33"/>
      <c r="G24" s="33"/>
      <c r="H24" s="34"/>
      <c r="I24" s="34"/>
      <c r="J24" s="34"/>
    </row>
    <row r="25" spans="1:12" ht="13.5" thickBot="1">
      <c r="A25" s="5" t="s">
        <v>53</v>
      </c>
      <c r="B25" s="51">
        <f>B26+B30+B33+B37+B40+B43+B46</f>
        <v>6469190642</v>
      </c>
      <c r="C25" s="51">
        <f>C26+C30+C33+C37+C40+C43+C46</f>
        <v>2418363497</v>
      </c>
      <c r="D25" s="51">
        <f>D26+D30+D33+D37+D40+D43+D46</f>
        <v>1977866242</v>
      </c>
      <c r="E25" s="239">
        <f>E26+E30+E33+E37+E40+E43+E46+E47</f>
        <v>0</v>
      </c>
      <c r="F25" s="238">
        <f>F26+F30+F33+F37+F40+F43+F46+F47</f>
        <v>0</v>
      </c>
      <c r="G25" s="51">
        <f>G26+G30+G33+G37+G40+G43+G46+G47</f>
        <v>0</v>
      </c>
      <c r="H25" s="51">
        <f t="shared" ref="H25:H45" si="9">+B25+E25</f>
        <v>6469190642</v>
      </c>
      <c r="I25" s="54">
        <f t="shared" ref="I25:I45" si="10">+C25+F25</f>
        <v>2418363497</v>
      </c>
      <c r="J25" s="54">
        <f t="shared" ref="J25:J45" si="11">+D25+G25</f>
        <v>1977866242</v>
      </c>
      <c r="K25" s="64">
        <f>I25/H25</f>
        <v>0.37382782960502525</v>
      </c>
    </row>
    <row r="26" spans="1:12" ht="14.25" thickBot="1">
      <c r="A26" s="25" t="s">
        <v>74</v>
      </c>
      <c r="B26" s="45">
        <f>SUM(B27:B29)</f>
        <v>641983875</v>
      </c>
      <c r="C26" s="45">
        <f>SUM(C27:C29)</f>
        <v>297273510</v>
      </c>
      <c r="D26" s="275">
        <f>SUM(D27:D29)</f>
        <v>198008510</v>
      </c>
      <c r="E26" s="240">
        <f>SUM(E27:E28)</f>
        <v>0</v>
      </c>
      <c r="F26" s="248">
        <f>SUM(F27:F28)</f>
        <v>0</v>
      </c>
      <c r="G26" s="45">
        <f t="shared" ref="G26" si="12">SUM(G27:G28)</f>
        <v>0</v>
      </c>
      <c r="H26" s="55">
        <f t="shared" si="9"/>
        <v>641983875</v>
      </c>
      <c r="I26" s="56">
        <f t="shared" si="10"/>
        <v>297273510</v>
      </c>
      <c r="J26" s="54">
        <f t="shared" si="11"/>
        <v>198008510</v>
      </c>
    </row>
    <row r="27" spans="1:12" ht="26.25" thickBot="1">
      <c r="A27" s="62" t="s">
        <v>75</v>
      </c>
      <c r="B27" s="289">
        <f>273122362+6406000</f>
        <v>279528362</v>
      </c>
      <c r="C27" s="273">
        <v>131869043</v>
      </c>
      <c r="D27" s="274">
        <v>104464043</v>
      </c>
      <c r="E27" s="276">
        <v>0</v>
      </c>
      <c r="F27" s="249">
        <v>0</v>
      </c>
      <c r="G27" s="229"/>
      <c r="H27" s="130">
        <f t="shared" si="9"/>
        <v>279528362</v>
      </c>
      <c r="I27" s="278">
        <f t="shared" si="10"/>
        <v>131869043</v>
      </c>
      <c r="J27" s="284">
        <f t="shared" si="11"/>
        <v>104464043</v>
      </c>
    </row>
    <row r="28" spans="1:12" ht="14.25" customHeight="1" thickBot="1">
      <c r="A28" s="63" t="s">
        <v>76</v>
      </c>
      <c r="B28" s="38">
        <f>187999197+3623000</f>
        <v>191622197</v>
      </c>
      <c r="C28" s="38">
        <v>98941967</v>
      </c>
      <c r="D28" s="230">
        <v>27081967</v>
      </c>
      <c r="E28" s="243">
        <v>0</v>
      </c>
      <c r="F28" s="38">
        <v>0</v>
      </c>
      <c r="G28" s="38"/>
      <c r="H28" s="53">
        <f t="shared" si="9"/>
        <v>191622197</v>
      </c>
      <c r="I28" s="278">
        <f t="shared" si="10"/>
        <v>98941967</v>
      </c>
      <c r="J28" s="284">
        <f t="shared" si="11"/>
        <v>27081967</v>
      </c>
    </row>
    <row r="29" spans="1:12" ht="14.25" customHeight="1" thickBot="1">
      <c r="A29" s="90" t="s">
        <v>77</v>
      </c>
      <c r="B29" s="38">
        <f>166566316+4267000</f>
        <v>170833316</v>
      </c>
      <c r="C29" s="38">
        <v>66462500</v>
      </c>
      <c r="D29" s="230">
        <v>66462500</v>
      </c>
      <c r="E29" s="243"/>
      <c r="F29" s="38"/>
      <c r="G29" s="38"/>
      <c r="H29" s="53">
        <f t="shared" si="9"/>
        <v>170833316</v>
      </c>
      <c r="I29" s="278">
        <f t="shared" si="10"/>
        <v>66462500</v>
      </c>
      <c r="J29" s="284">
        <f t="shared" si="11"/>
        <v>66462500</v>
      </c>
    </row>
    <row r="30" spans="1:12" ht="14.25" thickBot="1">
      <c r="A30" s="9" t="s">
        <v>78</v>
      </c>
      <c r="B30" s="44">
        <f>SUM(B31:B32)</f>
        <v>1138853029</v>
      </c>
      <c r="C30" s="44">
        <f>SUM(C31:C32)</f>
        <v>473741803</v>
      </c>
      <c r="D30" s="231">
        <f>SUM(D31:D32)</f>
        <v>428675143</v>
      </c>
      <c r="E30" s="244">
        <f>SUM(E31:E32)</f>
        <v>0</v>
      </c>
      <c r="F30" s="44">
        <f>SUM(F31:F32)</f>
        <v>0</v>
      </c>
      <c r="G30" s="44">
        <f t="shared" ref="G30" si="13">SUM(G31:G32)</f>
        <v>0</v>
      </c>
      <c r="H30" s="58">
        <f t="shared" si="9"/>
        <v>1138853029</v>
      </c>
      <c r="I30" s="59">
        <f t="shared" si="10"/>
        <v>473741803</v>
      </c>
      <c r="J30" s="54">
        <f t="shared" si="11"/>
        <v>428675143</v>
      </c>
    </row>
    <row r="31" spans="1:12" ht="26.25" thickBot="1">
      <c r="A31" s="63" t="s">
        <v>79</v>
      </c>
      <c r="B31" s="67">
        <f>633220535-13791506+43214000</f>
        <v>662643029</v>
      </c>
      <c r="C31" s="67">
        <v>269014453</v>
      </c>
      <c r="D31" s="232">
        <v>248614453</v>
      </c>
      <c r="E31" s="243">
        <v>0</v>
      </c>
      <c r="F31" s="38">
        <v>0</v>
      </c>
      <c r="G31" s="38"/>
      <c r="H31" s="53">
        <f t="shared" si="9"/>
        <v>662643029</v>
      </c>
      <c r="I31" s="57">
        <f t="shared" si="10"/>
        <v>269014453</v>
      </c>
      <c r="J31" s="284">
        <f t="shared" si="11"/>
        <v>248614453</v>
      </c>
    </row>
    <row r="32" spans="1:12" ht="14.25" thickBot="1">
      <c r="A32" s="63" t="s">
        <v>80</v>
      </c>
      <c r="B32" s="38">
        <f>450208494+13791506+12210000</f>
        <v>476210000</v>
      </c>
      <c r="C32" s="38">
        <v>204727350</v>
      </c>
      <c r="D32" s="230">
        <v>180060690</v>
      </c>
      <c r="E32" s="243">
        <v>0</v>
      </c>
      <c r="F32" s="38">
        <v>0</v>
      </c>
      <c r="G32" s="38">
        <v>0</v>
      </c>
      <c r="H32" s="58">
        <f t="shared" si="9"/>
        <v>476210000</v>
      </c>
      <c r="I32" s="57">
        <f t="shared" si="10"/>
        <v>204727350</v>
      </c>
      <c r="J32" s="284">
        <f t="shared" si="11"/>
        <v>180060690</v>
      </c>
      <c r="L32" s="109">
        <f>B23-3904833188</f>
        <v>1363002242</v>
      </c>
    </row>
    <row r="33" spans="1:13" ht="24" thickBot="1">
      <c r="A33" s="43" t="s">
        <v>81</v>
      </c>
      <c r="B33" s="52">
        <f>SUM(B34:B36)</f>
        <v>1717692262</v>
      </c>
      <c r="C33" s="44">
        <f>SUM(C34:C36)</f>
        <v>625579543</v>
      </c>
      <c r="D33" s="231">
        <f>SUM(D34:D36)</f>
        <v>530179543</v>
      </c>
      <c r="E33" s="243">
        <f>SUM(E34:E35)</f>
        <v>0</v>
      </c>
      <c r="F33" s="38">
        <f>SUM(F34:F35)</f>
        <v>0</v>
      </c>
      <c r="G33" s="38">
        <f t="shared" ref="G33" si="14">SUM(G34:G35)</f>
        <v>0</v>
      </c>
      <c r="H33" s="58">
        <f t="shared" si="9"/>
        <v>1717692262</v>
      </c>
      <c r="I33" s="59">
        <f t="shared" si="10"/>
        <v>625579543</v>
      </c>
      <c r="J33" s="54">
        <f t="shared" si="11"/>
        <v>530179543</v>
      </c>
      <c r="K33" s="103">
        <v>7529777751.9700003</v>
      </c>
    </row>
    <row r="34" spans="1:13" ht="14.25" thickBot="1">
      <c r="A34" s="42" t="s">
        <v>82</v>
      </c>
      <c r="B34" s="290">
        <f>731549993+165000000+48190639</f>
        <v>944740632</v>
      </c>
      <c r="C34" s="38">
        <v>451417543</v>
      </c>
      <c r="D34" s="230">
        <v>356017543</v>
      </c>
      <c r="E34" s="243">
        <v>0</v>
      </c>
      <c r="F34" s="38">
        <v>0</v>
      </c>
      <c r="G34" s="38"/>
      <c r="H34" s="53">
        <f t="shared" si="9"/>
        <v>944740632</v>
      </c>
      <c r="I34" s="57">
        <f t="shared" si="10"/>
        <v>451417543</v>
      </c>
      <c r="J34" s="284">
        <f t="shared" si="11"/>
        <v>356017543</v>
      </c>
    </row>
    <row r="35" spans="1:13" ht="14.25" thickBot="1">
      <c r="A35" s="279" t="s">
        <v>83</v>
      </c>
      <c r="B35" s="291">
        <f>640338090+17900000</f>
        <v>658238090</v>
      </c>
      <c r="C35" s="38">
        <v>156097961</v>
      </c>
      <c r="D35" s="230">
        <v>156097961</v>
      </c>
      <c r="E35" s="243">
        <v>0</v>
      </c>
      <c r="F35" s="38">
        <v>0</v>
      </c>
      <c r="G35" s="38"/>
      <c r="H35" s="53">
        <f t="shared" si="9"/>
        <v>658238090</v>
      </c>
      <c r="I35" s="57">
        <f t="shared" si="10"/>
        <v>156097961</v>
      </c>
      <c r="J35" s="284">
        <f t="shared" si="11"/>
        <v>156097961</v>
      </c>
      <c r="K35" s="102">
        <f>C25-K33</f>
        <v>-5111414254.9700003</v>
      </c>
    </row>
    <row r="36" spans="1:13" ht="14.25" thickBot="1">
      <c r="A36" s="42" t="s">
        <v>84</v>
      </c>
      <c r="B36" s="292">
        <f>113192540+1521000</f>
        <v>114713540</v>
      </c>
      <c r="C36" s="38">
        <v>18064039</v>
      </c>
      <c r="D36" s="230">
        <v>18064039</v>
      </c>
      <c r="E36" s="243"/>
      <c r="F36" s="38"/>
      <c r="G36" s="38"/>
      <c r="H36" s="58">
        <f t="shared" si="9"/>
        <v>114713540</v>
      </c>
      <c r="I36" s="57">
        <f t="shared" si="10"/>
        <v>18064039</v>
      </c>
      <c r="J36" s="284">
        <f t="shared" si="11"/>
        <v>18064039</v>
      </c>
    </row>
    <row r="37" spans="1:13" ht="14.25" thickBot="1">
      <c r="A37" s="43" t="s">
        <v>85</v>
      </c>
      <c r="B37" s="52">
        <f>SUM(B38:B39)</f>
        <v>985291771</v>
      </c>
      <c r="C37" s="44">
        <f>SUM(C38:C39)</f>
        <v>250404795</v>
      </c>
      <c r="D37" s="44">
        <f>SUM(D38:D39)</f>
        <v>220205370</v>
      </c>
      <c r="E37" s="244">
        <f>SUM(E38:E39)</f>
        <v>0</v>
      </c>
      <c r="F37" s="44">
        <f>SUM(F38:F39)</f>
        <v>0</v>
      </c>
      <c r="G37" s="44">
        <f t="shared" ref="G37" si="15">SUM(G38:G39)</f>
        <v>0</v>
      </c>
      <c r="H37" s="58">
        <f t="shared" si="9"/>
        <v>985291771</v>
      </c>
      <c r="I37" s="59">
        <f t="shared" si="10"/>
        <v>250404795</v>
      </c>
      <c r="J37" s="54">
        <f t="shared" si="11"/>
        <v>220205370</v>
      </c>
    </row>
    <row r="38" spans="1:13" ht="14.25" thickBot="1">
      <c r="A38" s="70" t="s">
        <v>86</v>
      </c>
      <c r="B38" s="292">
        <f>337772038+140000000+208427000</f>
        <v>686199038</v>
      </c>
      <c r="C38" s="222">
        <v>150890129</v>
      </c>
      <c r="D38" s="233">
        <v>120690704</v>
      </c>
      <c r="E38" s="245">
        <v>0</v>
      </c>
      <c r="F38" s="38">
        <v>0</v>
      </c>
      <c r="G38" s="222"/>
      <c r="H38" s="53">
        <f t="shared" si="9"/>
        <v>686199038</v>
      </c>
      <c r="I38" s="57">
        <f t="shared" si="10"/>
        <v>150890129</v>
      </c>
      <c r="J38" s="284">
        <f t="shared" si="11"/>
        <v>120690704</v>
      </c>
    </row>
    <row r="39" spans="1:13" ht="14.25" thickBot="1">
      <c r="A39" s="47" t="s">
        <v>87</v>
      </c>
      <c r="B39" s="67">
        <f>291746733+7346000</f>
        <v>299092733</v>
      </c>
      <c r="C39" s="67">
        <v>99514666</v>
      </c>
      <c r="D39" s="232">
        <v>99514666</v>
      </c>
      <c r="E39" s="243">
        <v>0</v>
      </c>
      <c r="F39" s="38">
        <v>0</v>
      </c>
      <c r="G39" s="38"/>
      <c r="H39" s="53">
        <f t="shared" si="9"/>
        <v>299092733</v>
      </c>
      <c r="I39" s="57">
        <f t="shared" si="10"/>
        <v>99514666</v>
      </c>
      <c r="J39" s="284">
        <f t="shared" si="11"/>
        <v>99514666</v>
      </c>
    </row>
    <row r="40" spans="1:13" ht="14.25" thickBot="1">
      <c r="A40" s="72" t="s">
        <v>89</v>
      </c>
      <c r="B40" s="73">
        <f>SUM(B41:B42)</f>
        <v>678581070</v>
      </c>
      <c r="C40" s="73">
        <f>SUM(C41:C42)</f>
        <v>197228127</v>
      </c>
      <c r="D40" s="73">
        <f>SUM(D41:D42)</f>
        <v>197228127</v>
      </c>
      <c r="E40" s="250">
        <f>SUM(E41:E42)</f>
        <v>0</v>
      </c>
      <c r="F40" s="44">
        <f>SUM(F41:F42)</f>
        <v>0</v>
      </c>
      <c r="G40" s="74"/>
      <c r="H40" s="75">
        <f t="shared" si="9"/>
        <v>678581070</v>
      </c>
      <c r="I40" s="76">
        <f t="shared" si="10"/>
        <v>197228127</v>
      </c>
      <c r="J40" s="54">
        <f t="shared" si="11"/>
        <v>197228127</v>
      </c>
    </row>
    <row r="41" spans="1:13" ht="14.25" thickBot="1">
      <c r="A41" s="42" t="s">
        <v>90</v>
      </c>
      <c r="B41" s="292">
        <f>413999764+11171000</f>
        <v>425170764</v>
      </c>
      <c r="C41" s="38">
        <v>159526189</v>
      </c>
      <c r="D41" s="230">
        <v>159526189</v>
      </c>
      <c r="E41" s="246">
        <v>0</v>
      </c>
      <c r="F41" s="38">
        <v>0</v>
      </c>
      <c r="G41" s="93"/>
      <c r="H41" s="75">
        <f t="shared" si="9"/>
        <v>425170764</v>
      </c>
      <c r="I41" s="76">
        <f t="shared" si="10"/>
        <v>159526189</v>
      </c>
      <c r="J41" s="284">
        <f t="shared" si="11"/>
        <v>159526189</v>
      </c>
      <c r="M41" s="132">
        <f>983652939-I25</f>
        <v>-1434710558</v>
      </c>
    </row>
    <row r="42" spans="1:13" ht="14.25" thickBot="1">
      <c r="A42" s="47" t="s">
        <v>91</v>
      </c>
      <c r="B42" s="293">
        <f>247240306+6170000</f>
        <v>253410306</v>
      </c>
      <c r="C42" s="67">
        <v>37701938</v>
      </c>
      <c r="D42" s="232">
        <v>37701938</v>
      </c>
      <c r="E42" s="243">
        <v>0</v>
      </c>
      <c r="F42" s="38">
        <v>0</v>
      </c>
      <c r="G42" s="93"/>
      <c r="H42" s="75">
        <f t="shared" si="9"/>
        <v>253410306</v>
      </c>
      <c r="I42" s="76">
        <f t="shared" si="10"/>
        <v>37701938</v>
      </c>
      <c r="J42" s="284">
        <f t="shared" si="11"/>
        <v>37701938</v>
      </c>
    </row>
    <row r="43" spans="1:13" ht="14.25" thickBot="1">
      <c r="A43" s="43" t="s">
        <v>92</v>
      </c>
      <c r="B43" s="52">
        <f>SUM(B44:B45)</f>
        <v>1306788635</v>
      </c>
      <c r="C43" s="52">
        <f t="shared" ref="C43:D43" si="16">SUM(C44:C45)</f>
        <v>574135719</v>
      </c>
      <c r="D43" s="52">
        <f t="shared" si="16"/>
        <v>403569549</v>
      </c>
      <c r="E43" s="52">
        <f t="shared" ref="E43" si="17">SUM(E44:E45)</f>
        <v>0</v>
      </c>
      <c r="F43" s="52">
        <f t="shared" ref="F43" si="18">SUM(F44:F45)</f>
        <v>0</v>
      </c>
      <c r="G43" s="52">
        <f t="shared" ref="G43" si="19">SUM(G44:G45)</f>
        <v>0</v>
      </c>
      <c r="H43" s="58">
        <f t="shared" si="9"/>
        <v>1306788635</v>
      </c>
      <c r="I43" s="59">
        <f t="shared" si="10"/>
        <v>574135719</v>
      </c>
      <c r="J43" s="54">
        <f t="shared" si="11"/>
        <v>403569549</v>
      </c>
    </row>
    <row r="44" spans="1:13" ht="26.25" thickBot="1">
      <c r="A44" s="47" t="s">
        <v>93</v>
      </c>
      <c r="B44" s="67">
        <f>762514412+95664567-74476565</f>
        <v>783702414</v>
      </c>
      <c r="C44" s="67">
        <v>382815088</v>
      </c>
      <c r="D44" s="67">
        <v>297597588</v>
      </c>
      <c r="E44" s="38">
        <v>0</v>
      </c>
      <c r="F44" s="38">
        <v>0</v>
      </c>
      <c r="G44" s="38"/>
      <c r="H44" s="130">
        <f t="shared" si="9"/>
        <v>783702414</v>
      </c>
      <c r="I44" s="283">
        <f t="shared" si="10"/>
        <v>382815088</v>
      </c>
      <c r="J44" s="284">
        <f t="shared" si="11"/>
        <v>297597588</v>
      </c>
    </row>
    <row r="45" spans="1:13" ht="14.25" thickBot="1">
      <c r="A45" s="91" t="s">
        <v>88</v>
      </c>
      <c r="B45" s="67">
        <f>266529220+256557001</f>
        <v>523086221</v>
      </c>
      <c r="C45" s="92">
        <v>191320631</v>
      </c>
      <c r="D45" s="234">
        <v>105971961</v>
      </c>
      <c r="E45" s="246"/>
      <c r="F45" s="38"/>
      <c r="G45" s="93"/>
      <c r="H45" s="53">
        <f t="shared" si="9"/>
        <v>523086221</v>
      </c>
      <c r="I45" s="59">
        <f t="shared" si="10"/>
        <v>191320631</v>
      </c>
      <c r="J45" s="284">
        <f t="shared" si="11"/>
        <v>105971961</v>
      </c>
    </row>
    <row r="46" spans="1:13" ht="14.25" thickBot="1">
      <c r="A46" s="147" t="s">
        <v>131</v>
      </c>
      <c r="B46" s="131"/>
      <c r="C46" s="131"/>
      <c r="D46" s="235"/>
      <c r="E46" s="247"/>
      <c r="F46" s="146"/>
      <c r="G46" s="146"/>
      <c r="H46" s="131">
        <f>+B46+E46</f>
        <v>0</v>
      </c>
      <c r="I46" s="277">
        <f>+C46+F46</f>
        <v>0</v>
      </c>
      <c r="J46" s="54">
        <f>+D46+G46+I46</f>
        <v>0</v>
      </c>
    </row>
    <row r="47" spans="1:13" ht="14.25" thickBot="1">
      <c r="A47" s="148" t="s">
        <v>140</v>
      </c>
      <c r="B47" s="149"/>
      <c r="C47" s="149"/>
      <c r="D47" s="236"/>
      <c r="E47" s="251"/>
      <c r="F47" s="150"/>
      <c r="G47" s="150"/>
      <c r="H47" s="149"/>
      <c r="I47" s="71"/>
      <c r="J47" s="54">
        <f>+D47+G47+I47</f>
        <v>0</v>
      </c>
    </row>
    <row r="48" spans="1:13" ht="14.25" thickBot="1">
      <c r="A48" s="152"/>
      <c r="B48" s="153"/>
      <c r="C48" s="153"/>
      <c r="D48" s="153"/>
      <c r="E48" s="241"/>
      <c r="F48" s="252"/>
      <c r="G48" s="153"/>
      <c r="H48" s="154"/>
      <c r="I48" s="155">
        <f>+C48+F48</f>
        <v>0</v>
      </c>
      <c r="J48" s="54">
        <f>+D48+G48+I48</f>
        <v>0</v>
      </c>
    </row>
    <row r="49" spans="1:11" ht="13.5" thickBot="1">
      <c r="A49" s="46" t="s">
        <v>54</v>
      </c>
      <c r="B49" s="151">
        <f>B23+B25</f>
        <v>11737026072</v>
      </c>
      <c r="C49" s="151">
        <f>C23+C25</f>
        <v>4743185966.5900002</v>
      </c>
      <c r="D49" s="237">
        <f>D23+D25</f>
        <v>3685419653.3900003</v>
      </c>
      <c r="E49" s="242">
        <f>E23+E25</f>
        <v>3065869740</v>
      </c>
      <c r="F49" s="254">
        <f>F23+F25</f>
        <v>1449907694.74</v>
      </c>
      <c r="G49" s="253">
        <f t="shared" ref="G49" si="20">G23+G25</f>
        <v>1324907694.74</v>
      </c>
      <c r="H49" s="254">
        <f>H23+H25</f>
        <v>14802895812</v>
      </c>
      <c r="I49" s="254">
        <f t="shared" ref="I49:J49" si="21">I23+I25</f>
        <v>6193093661.3299999</v>
      </c>
      <c r="J49" s="254">
        <f t="shared" si="21"/>
        <v>5010327348.1300001</v>
      </c>
      <c r="K49" s="65">
        <f>I49/H49</f>
        <v>0.41837041481502252</v>
      </c>
    </row>
    <row r="50" spans="1:11" ht="27.75" customHeight="1">
      <c r="A50" s="300"/>
      <c r="B50" s="301"/>
      <c r="C50" s="301"/>
      <c r="D50" s="301"/>
      <c r="E50" s="301"/>
      <c r="F50" s="301"/>
      <c r="G50" s="301"/>
      <c r="H50" s="301"/>
      <c r="I50" s="301"/>
    </row>
    <row r="51" spans="1:11">
      <c r="A51" s="286"/>
      <c r="B51" s="285"/>
      <c r="C51" s="285"/>
      <c r="D51" s="285"/>
      <c r="E51" s="288">
        <v>2692514000</v>
      </c>
      <c r="F51" s="285"/>
      <c r="G51" s="285"/>
      <c r="H51" s="285"/>
      <c r="I51" s="285"/>
    </row>
    <row r="52" spans="1:11">
      <c r="A52" s="2"/>
      <c r="B52" s="2"/>
      <c r="C52" s="2"/>
      <c r="D52" s="2"/>
      <c r="E52" s="287">
        <v>373355740</v>
      </c>
      <c r="F52" s="2"/>
      <c r="G52" s="2"/>
      <c r="H52" s="2"/>
      <c r="I52" s="2"/>
    </row>
    <row r="53" spans="1:11">
      <c r="A53" s="2"/>
      <c r="B53" s="2"/>
      <c r="C53" s="104"/>
      <c r="D53" s="104"/>
      <c r="E53" s="2"/>
      <c r="F53" s="104"/>
      <c r="G53" s="104"/>
      <c r="I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</row>
    <row r="56" spans="1:11">
      <c r="F56" s="61"/>
      <c r="G56" s="61"/>
    </row>
    <row r="63" spans="1:11" ht="16.5" customHeight="1"/>
  </sheetData>
  <mergeCells count="9">
    <mergeCell ref="A1:I1"/>
    <mergeCell ref="A5:A6"/>
    <mergeCell ref="A50:I50"/>
    <mergeCell ref="B5:D5"/>
    <mergeCell ref="E5:G5"/>
    <mergeCell ref="A2:J2"/>
    <mergeCell ref="A3:J3"/>
    <mergeCell ref="H5:J5"/>
    <mergeCell ref="E4:G4"/>
  </mergeCells>
  <phoneticPr fontId="9" type="noConversion"/>
  <printOptions horizontalCentered="1" vertic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27" sqref="F27"/>
    </sheetView>
  </sheetViews>
  <sheetFormatPr baseColWidth="10" defaultRowHeight="12.75"/>
  <cols>
    <col min="2" max="2" width="19.7109375" customWidth="1"/>
    <col min="3" max="3" width="15.140625" customWidth="1"/>
    <col min="4" max="4" width="21.140625" customWidth="1"/>
    <col min="5" max="5" width="14.5703125" customWidth="1"/>
    <col min="6" max="6" width="13.85546875" bestFit="1" customWidth="1"/>
  </cols>
  <sheetData>
    <row r="3" spans="1:6">
      <c r="B3" t="s">
        <v>95</v>
      </c>
      <c r="C3" t="s">
        <v>94</v>
      </c>
      <c r="D3" t="s">
        <v>96</v>
      </c>
      <c r="E3" t="s">
        <v>94</v>
      </c>
    </row>
    <row r="4" spans="1:6">
      <c r="A4" s="84" t="s">
        <v>35</v>
      </c>
      <c r="B4" s="97">
        <f>'Anexo 5-1 Ingresos'!I50</f>
        <v>14802895812</v>
      </c>
      <c r="C4" s="85">
        <v>100</v>
      </c>
      <c r="D4" s="97">
        <f>'Anexo 5-1 Ingresos'!D61</f>
        <v>7390595389.0500011</v>
      </c>
      <c r="E4" s="96">
        <f>D4/B4*100</f>
        <v>49.92668652750227</v>
      </c>
    </row>
    <row r="6" spans="1:6">
      <c r="E6" t="s">
        <v>95</v>
      </c>
      <c r="F6" t="s">
        <v>96</v>
      </c>
    </row>
    <row r="7" spans="1:6">
      <c r="D7" s="89"/>
      <c r="E7" s="89">
        <f>C4</f>
        <v>100</v>
      </c>
      <c r="F7" s="96">
        <f>E4</f>
        <v>49.92668652750227</v>
      </c>
    </row>
    <row r="8" spans="1:6">
      <c r="E8" s="89"/>
      <c r="F8" s="8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workbookViewId="0">
      <selection activeCell="B56" sqref="B56"/>
    </sheetView>
  </sheetViews>
  <sheetFormatPr baseColWidth="10" defaultRowHeight="12.75"/>
  <cols>
    <col min="1" max="1" width="17.28515625" customWidth="1"/>
    <col min="2" max="2" width="17.5703125" bestFit="1" customWidth="1"/>
  </cols>
  <sheetData>
    <row r="1" spans="1:2">
      <c r="A1" t="str">
        <f>'Anexo 5-1 Ingresos'!C5</f>
        <v>APROPIADO</v>
      </c>
      <c r="B1" s="103">
        <f>'Anexo 5-1 Ingresos'!C61</f>
        <v>14802895812</v>
      </c>
    </row>
    <row r="2" spans="1:2">
      <c r="A2" t="str">
        <f>'Anexo 5-1 Ingresos'!D5</f>
        <v>RECAUDADO</v>
      </c>
      <c r="B2" s="103">
        <f>'Anexo 5-1 Ingresos'!D61</f>
        <v>7390595389.0500011</v>
      </c>
    </row>
    <row r="51" spans="2:2">
      <c r="B51" s="103"/>
    </row>
    <row r="52" spans="2:2">
      <c r="B52" s="61"/>
    </row>
    <row r="56" spans="2:2">
      <c r="B56" s="10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E39"/>
  <sheetViews>
    <sheetView topLeftCell="A4" workbookViewId="0">
      <selection activeCell="C37" sqref="C37"/>
    </sheetView>
  </sheetViews>
  <sheetFormatPr baseColWidth="10" defaultRowHeight="12.75"/>
  <cols>
    <col min="1" max="1" width="23.140625" customWidth="1"/>
    <col min="2" max="2" width="17.5703125" bestFit="1" customWidth="1"/>
    <col min="3" max="3" width="5.7109375" customWidth="1"/>
    <col min="4" max="4" width="19.140625" customWidth="1"/>
    <col min="5" max="5" width="7.85546875" customWidth="1"/>
  </cols>
  <sheetData>
    <row r="15" spans="1:5">
      <c r="A15" s="129"/>
      <c r="B15" s="140" t="s">
        <v>137</v>
      </c>
      <c r="C15" s="140" t="s">
        <v>94</v>
      </c>
      <c r="D15" s="140" t="s">
        <v>138</v>
      </c>
      <c r="E15" s="140" t="s">
        <v>94</v>
      </c>
    </row>
    <row r="16" spans="1:5">
      <c r="A16" s="141" t="s">
        <v>133</v>
      </c>
      <c r="B16" s="142">
        <f>B17+B20</f>
        <v>11737026072</v>
      </c>
      <c r="C16" s="144">
        <f>B16/B22</f>
        <v>0.7928871635025192</v>
      </c>
      <c r="D16" s="142">
        <f>D17+D20</f>
        <v>5840412093.3600006</v>
      </c>
      <c r="E16" s="145">
        <f>D16/D22</f>
        <v>0.79024919995122833</v>
      </c>
    </row>
    <row r="17" spans="1:5">
      <c r="A17" s="141" t="s">
        <v>134</v>
      </c>
      <c r="B17" s="139">
        <f>SUM(B18:B19)</f>
        <v>7986500000</v>
      </c>
      <c r="C17" s="129"/>
      <c r="D17" s="139">
        <f>SUM(D18:D19)</f>
        <v>3512455871.3499999</v>
      </c>
      <c r="E17" s="129"/>
    </row>
    <row r="18" spans="1:5">
      <c r="A18" s="141" t="s">
        <v>5</v>
      </c>
      <c r="B18" s="138">
        <f>'Anexo 5-1 Ingresos'!C8</f>
        <v>2700000000</v>
      </c>
      <c r="C18" s="129"/>
      <c r="D18" s="138">
        <f>'Anexo 5-1 Ingresos'!D8</f>
        <v>2006261863</v>
      </c>
      <c r="E18" s="129"/>
    </row>
    <row r="19" spans="1:5">
      <c r="A19" s="141" t="s">
        <v>8</v>
      </c>
      <c r="B19" s="138">
        <f>'Anexo 5-1 Ingresos'!C12</f>
        <v>5286500000</v>
      </c>
      <c r="C19" s="129"/>
      <c r="D19" s="138">
        <f>'Anexo 5-1 Ingresos'!D12</f>
        <v>1506194008.3499999</v>
      </c>
      <c r="E19" s="129"/>
    </row>
    <row r="20" spans="1:5">
      <c r="A20" s="141" t="s">
        <v>135</v>
      </c>
      <c r="B20" s="138">
        <f>'Anexo 5-1 Ingresos'!C37</f>
        <v>3750526072</v>
      </c>
      <c r="C20" s="129"/>
      <c r="D20" s="138">
        <f>'Anexo 5-1 Ingresos'!D37</f>
        <v>2327956222.0100002</v>
      </c>
      <c r="E20" s="129"/>
    </row>
    <row r="21" spans="1:5">
      <c r="A21" s="141" t="s">
        <v>136</v>
      </c>
      <c r="B21" s="143">
        <f>'Anexo 5-1 Ingresos'!C56</f>
        <v>3065869740</v>
      </c>
      <c r="C21" s="144">
        <f>B21/B22</f>
        <v>0.20711283649748086</v>
      </c>
      <c r="D21" s="138">
        <f>'Anexo 5-1 Ingresos'!D56</f>
        <v>1550183295.6900001</v>
      </c>
      <c r="E21" s="145">
        <f>D21/D22</f>
        <v>0.20975080004877159</v>
      </c>
    </row>
    <row r="22" spans="1:5">
      <c r="A22" s="86" t="s">
        <v>139</v>
      </c>
      <c r="B22" s="142">
        <f>B16+B21</f>
        <v>14802895812</v>
      </c>
      <c r="C22" s="144">
        <v>1</v>
      </c>
      <c r="D22" s="142">
        <f>D16+D21</f>
        <v>7390595389.0500011</v>
      </c>
      <c r="E22" s="144">
        <v>1</v>
      </c>
    </row>
    <row r="33" spans="1:1">
      <c r="A33" s="103"/>
    </row>
    <row r="35" spans="1:1">
      <c r="A35" s="103"/>
    </row>
    <row r="37" spans="1:1">
      <c r="A37" s="103"/>
    </row>
    <row r="39" spans="1:1">
      <c r="A39" s="10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selection activeCell="D36" sqref="D36"/>
    </sheetView>
  </sheetViews>
  <sheetFormatPr baseColWidth="10" defaultRowHeight="12.75"/>
  <cols>
    <col min="1" max="1" width="13.42578125" customWidth="1"/>
    <col min="3" max="3" width="25.28515625" customWidth="1"/>
    <col min="4" max="4" width="17.85546875" customWidth="1"/>
    <col min="5" max="5" width="15" customWidth="1"/>
    <col min="6" max="6" width="17" customWidth="1"/>
    <col min="8" max="8" width="16.85546875" customWidth="1"/>
    <col min="13" max="13" width="44.140625" customWidth="1"/>
    <col min="14" max="14" width="20" customWidth="1"/>
  </cols>
  <sheetData>
    <row r="2" spans="1:14" ht="13.5" thickBot="1"/>
    <row r="3" spans="1:14" ht="15.75" thickBot="1">
      <c r="A3" s="159" t="s">
        <v>144</v>
      </c>
      <c r="B3" s="314" t="s">
        <v>145</v>
      </c>
      <c r="C3" s="315"/>
      <c r="D3" s="160" t="s">
        <v>146</v>
      </c>
      <c r="E3" s="160" t="s">
        <v>147</v>
      </c>
      <c r="F3" s="161" t="s">
        <v>148</v>
      </c>
      <c r="H3" s="162" t="s">
        <v>149</v>
      </c>
    </row>
    <row r="4" spans="1:14" ht="36.75" customHeight="1">
      <c r="A4" s="308" t="s">
        <v>150</v>
      </c>
      <c r="B4" s="317" t="s">
        <v>151</v>
      </c>
      <c r="C4" s="318"/>
      <c r="D4" s="181">
        <v>204741578</v>
      </c>
      <c r="E4" s="164">
        <v>68380784</v>
      </c>
      <c r="F4" s="182">
        <f>D4+E4</f>
        <v>273122362</v>
      </c>
      <c r="G4" s="103"/>
    </row>
    <row r="5" spans="1:14">
      <c r="A5" s="316"/>
      <c r="B5" s="319" t="s">
        <v>152</v>
      </c>
      <c r="C5" s="319"/>
      <c r="D5" s="163">
        <v>115790480</v>
      </c>
      <c r="E5" s="164">
        <v>72208717</v>
      </c>
      <c r="F5" s="165">
        <f t="shared" ref="F5:F17" si="0">D5+E5</f>
        <v>187999197</v>
      </c>
      <c r="G5" s="103"/>
      <c r="H5" s="103">
        <v>58500000</v>
      </c>
    </row>
    <row r="6" spans="1:14" ht="27" customHeight="1" thickBot="1">
      <c r="A6" s="309"/>
      <c r="B6" s="320" t="s">
        <v>153</v>
      </c>
      <c r="C6" s="321"/>
      <c r="D6" s="177">
        <v>136366249</v>
      </c>
      <c r="E6" s="164">
        <v>30200067</v>
      </c>
      <c r="F6" s="165">
        <f t="shared" si="0"/>
        <v>166566316</v>
      </c>
      <c r="G6" s="103"/>
    </row>
    <row r="7" spans="1:14" ht="39" customHeight="1" thickBot="1">
      <c r="A7" s="308" t="s">
        <v>154</v>
      </c>
      <c r="B7" s="310" t="s">
        <v>155</v>
      </c>
      <c r="C7" s="311"/>
      <c r="D7" s="163">
        <v>568580684</v>
      </c>
      <c r="E7" s="164">
        <v>64639851</v>
      </c>
      <c r="F7" s="165">
        <f t="shared" si="0"/>
        <v>633220535</v>
      </c>
      <c r="G7" s="103"/>
      <c r="H7" s="103">
        <v>58500000</v>
      </c>
    </row>
    <row r="8" spans="1:14" ht="24" customHeight="1" thickBot="1">
      <c r="A8" s="309"/>
      <c r="B8" s="312" t="s">
        <v>156</v>
      </c>
      <c r="C8" s="313"/>
      <c r="D8" s="177">
        <v>390208494</v>
      </c>
      <c r="E8" s="164">
        <v>60000000</v>
      </c>
      <c r="F8" s="165">
        <f t="shared" si="0"/>
        <v>450208494</v>
      </c>
      <c r="G8" s="103"/>
      <c r="H8" s="166">
        <v>58500000</v>
      </c>
      <c r="M8" s="183"/>
      <c r="N8" s="184"/>
    </row>
    <row r="9" spans="1:14" ht="24.75" customHeight="1">
      <c r="A9" s="308" t="s">
        <v>157</v>
      </c>
      <c r="B9" s="317" t="s">
        <v>158</v>
      </c>
      <c r="C9" s="318"/>
      <c r="D9" s="163">
        <v>659348099</v>
      </c>
      <c r="E9" s="164">
        <v>72201894</v>
      </c>
      <c r="F9" s="165">
        <f t="shared" si="0"/>
        <v>731549993</v>
      </c>
      <c r="G9" s="103"/>
      <c r="H9" s="167">
        <v>58500000</v>
      </c>
      <c r="M9" s="185"/>
      <c r="N9" s="184"/>
    </row>
    <row r="10" spans="1:14" ht="25.5" customHeight="1" thickBot="1">
      <c r="A10" s="322"/>
      <c r="B10" s="323" t="s">
        <v>159</v>
      </c>
      <c r="C10" s="324"/>
      <c r="D10" s="163">
        <v>572044304</v>
      </c>
      <c r="E10" s="164">
        <v>68293786</v>
      </c>
      <c r="F10" s="165">
        <f t="shared" si="0"/>
        <v>640338090</v>
      </c>
      <c r="G10" s="103"/>
      <c r="H10" s="168">
        <v>58500000</v>
      </c>
      <c r="M10" s="186"/>
      <c r="N10" s="190"/>
    </row>
    <row r="11" spans="1:14" ht="20.25" customHeight="1" thickBot="1">
      <c r="A11" s="309"/>
      <c r="B11" s="325" t="s">
        <v>160</v>
      </c>
      <c r="C11" s="326"/>
      <c r="D11" s="177">
        <v>48608535</v>
      </c>
      <c r="E11" s="164">
        <v>64584005</v>
      </c>
      <c r="F11" s="165">
        <f t="shared" si="0"/>
        <v>113192540</v>
      </c>
      <c r="G11" s="103"/>
      <c r="M11" s="187"/>
      <c r="N11" s="190"/>
    </row>
    <row r="12" spans="1:14" ht="13.5">
      <c r="A12" s="308" t="s">
        <v>161</v>
      </c>
      <c r="B12" s="317" t="s">
        <v>162</v>
      </c>
      <c r="C12" s="318"/>
      <c r="D12" s="163">
        <v>269304252</v>
      </c>
      <c r="E12" s="164">
        <v>68467786</v>
      </c>
      <c r="F12" s="165">
        <f t="shared" si="0"/>
        <v>337772038</v>
      </c>
      <c r="G12" s="103"/>
      <c r="H12" s="168">
        <v>58500000</v>
      </c>
      <c r="M12" s="188"/>
      <c r="N12" s="190"/>
    </row>
    <row r="13" spans="1:14">
      <c r="A13" s="316"/>
      <c r="B13" s="319" t="s">
        <v>163</v>
      </c>
      <c r="C13" s="319"/>
      <c r="D13" s="163">
        <v>234760847</v>
      </c>
      <c r="E13" s="164">
        <v>56985886</v>
      </c>
      <c r="F13" s="165">
        <f t="shared" si="0"/>
        <v>291746733</v>
      </c>
      <c r="G13" s="103"/>
      <c r="M13" s="185"/>
      <c r="N13" s="184"/>
    </row>
    <row r="14" spans="1:14" ht="26.25" customHeight="1" thickBot="1">
      <c r="A14" s="309"/>
      <c r="B14" s="327" t="s">
        <v>164</v>
      </c>
      <c r="C14" s="328"/>
      <c r="D14" s="178">
        <v>209542234</v>
      </c>
      <c r="E14" s="164">
        <v>56986986</v>
      </c>
      <c r="F14" s="165">
        <f t="shared" si="0"/>
        <v>266529220</v>
      </c>
      <c r="G14" s="103"/>
      <c r="M14" s="187"/>
      <c r="N14" s="189"/>
    </row>
    <row r="15" spans="1:14" ht="13.5">
      <c r="A15" s="308" t="s">
        <v>165</v>
      </c>
      <c r="B15" s="329" t="s">
        <v>166</v>
      </c>
      <c r="C15" s="329"/>
      <c r="D15" s="163">
        <v>357013877</v>
      </c>
      <c r="E15" s="164">
        <v>56985887</v>
      </c>
      <c r="F15" s="165">
        <f t="shared" si="0"/>
        <v>413999764</v>
      </c>
      <c r="G15" s="103"/>
      <c r="M15" s="187"/>
      <c r="N15" s="189"/>
    </row>
    <row r="16" spans="1:14" ht="13.5" thickBot="1">
      <c r="A16" s="309"/>
      <c r="B16" s="330" t="s">
        <v>167</v>
      </c>
      <c r="C16" s="330"/>
      <c r="D16" s="169">
        <v>197188362</v>
      </c>
      <c r="E16" s="164">
        <v>50051944</v>
      </c>
      <c r="F16" s="165">
        <f t="shared" si="0"/>
        <v>247240306</v>
      </c>
      <c r="G16" s="103"/>
      <c r="M16" s="185"/>
      <c r="N16" s="184"/>
    </row>
    <row r="17" spans="1:14" ht="27" thickBot="1">
      <c r="A17" s="176" t="s">
        <v>168</v>
      </c>
      <c r="B17" s="331" t="s">
        <v>169</v>
      </c>
      <c r="C17" s="332"/>
      <c r="D17" s="163">
        <v>682514412</v>
      </c>
      <c r="E17" s="164">
        <v>80000000</v>
      </c>
      <c r="F17" s="165">
        <f t="shared" si="0"/>
        <v>762514412</v>
      </c>
      <c r="G17" s="103"/>
      <c r="H17" s="170">
        <v>72000000</v>
      </c>
      <c r="M17" s="187"/>
      <c r="N17" s="189"/>
    </row>
    <row r="18" spans="1:14" ht="13.5">
      <c r="A18" s="333" t="s">
        <v>170</v>
      </c>
      <c r="B18" s="334"/>
      <c r="C18" s="335"/>
      <c r="D18" s="171">
        <f>SUM(D4:D17)</f>
        <v>4646012407</v>
      </c>
      <c r="E18" s="172">
        <f>SUM(E4:E17)</f>
        <v>869987593</v>
      </c>
      <c r="F18" s="165">
        <f>SUM(F4:F17)</f>
        <v>5516000000</v>
      </c>
      <c r="M18" s="187"/>
      <c r="N18" s="189"/>
    </row>
    <row r="19" spans="1:14" ht="13.5">
      <c r="A19" s="129"/>
      <c r="B19" s="129"/>
      <c r="C19" s="129"/>
      <c r="D19" s="173">
        <f>D18/F18*100</f>
        <v>84.227926160261063</v>
      </c>
      <c r="E19" s="174">
        <f>E18/F18*100</f>
        <v>15.772073839738942</v>
      </c>
      <c r="F19" s="175">
        <v>100</v>
      </c>
      <c r="H19" s="102">
        <f>SUM(H4:H18)</f>
        <v>423000000</v>
      </c>
      <c r="M19" s="187"/>
      <c r="N19" s="189"/>
    </row>
    <row r="20" spans="1:14">
      <c r="M20" s="185"/>
      <c r="N20" s="184"/>
    </row>
    <row r="21" spans="1:14" ht="13.5">
      <c r="M21" s="187"/>
      <c r="N21" s="189"/>
    </row>
    <row r="22" spans="1:14" ht="13.5">
      <c r="M22" s="186"/>
      <c r="N22" s="189"/>
    </row>
    <row r="23" spans="1:14" ht="13.5">
      <c r="M23" s="186"/>
      <c r="N23" s="189"/>
    </row>
    <row r="24" spans="1:14">
      <c r="M24" s="185"/>
      <c r="N24" s="184"/>
    </row>
    <row r="25" spans="1:14" ht="13.5">
      <c r="M25" s="187"/>
      <c r="N25" s="189"/>
    </row>
    <row r="26" spans="1:14" ht="13.5">
      <c r="M26" s="186"/>
      <c r="N26" s="189"/>
    </row>
    <row r="27" spans="1:14">
      <c r="M27" s="185"/>
      <c r="N27" s="189"/>
    </row>
    <row r="28" spans="1:14" ht="13.5">
      <c r="M28" s="186"/>
      <c r="N28" s="189"/>
    </row>
    <row r="29" spans="1:14">
      <c r="M29" s="183"/>
      <c r="N29" s="189"/>
    </row>
    <row r="30" spans="1:14">
      <c r="M30" s="183"/>
      <c r="N30" s="189"/>
    </row>
  </sheetData>
  <mergeCells count="21">
    <mergeCell ref="A15:A16"/>
    <mergeCell ref="B15:C15"/>
    <mergeCell ref="B16:C16"/>
    <mergeCell ref="B17:C17"/>
    <mergeCell ref="A18:C18"/>
    <mergeCell ref="A9:A11"/>
    <mergeCell ref="B9:C9"/>
    <mergeCell ref="B10:C10"/>
    <mergeCell ref="B11:C11"/>
    <mergeCell ref="A12:A14"/>
    <mergeCell ref="B12:C12"/>
    <mergeCell ref="B13:C13"/>
    <mergeCell ref="B14:C14"/>
    <mergeCell ref="A7:A8"/>
    <mergeCell ref="B7:C7"/>
    <mergeCell ref="B8:C8"/>
    <mergeCell ref="B3:C3"/>
    <mergeCell ref="A4:A6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K11" sqref="K11"/>
    </sheetView>
  </sheetViews>
  <sheetFormatPr baseColWidth="10" defaultRowHeight="12.75"/>
  <cols>
    <col min="1" max="1" width="42" customWidth="1"/>
    <col min="2" max="2" width="15.42578125" customWidth="1"/>
    <col min="3" max="3" width="15.85546875" customWidth="1"/>
    <col min="4" max="4" width="15.7109375" customWidth="1"/>
    <col min="5" max="5" width="16.28515625" customWidth="1"/>
    <col min="6" max="6" width="15.5703125" customWidth="1"/>
    <col min="7" max="7" width="16.5703125" customWidth="1"/>
    <col min="8" max="8" width="18" customWidth="1"/>
    <col min="9" max="9" width="17.85546875" customWidth="1"/>
    <col min="10" max="10" width="15.42578125" customWidth="1"/>
    <col min="11" max="11" width="20.7109375" customWidth="1"/>
    <col min="12" max="12" width="23.5703125" customWidth="1"/>
    <col min="13" max="13" width="15.28515625" customWidth="1"/>
    <col min="14" max="14" width="17.42578125" customWidth="1"/>
    <col min="15" max="15" width="9.42578125" customWidth="1"/>
  </cols>
  <sheetData>
    <row r="1" spans="1:15" ht="13.5" thickBot="1">
      <c r="A1" s="297" t="s">
        <v>55</v>
      </c>
      <c r="B1" s="297"/>
      <c r="C1" s="297"/>
      <c r="D1" s="297"/>
      <c r="E1" s="297"/>
      <c r="F1" s="297"/>
      <c r="G1" s="297"/>
      <c r="H1" s="297"/>
      <c r="I1" s="297"/>
    </row>
    <row r="2" spans="1:15" ht="13.5" thickBot="1">
      <c r="A2" s="305" t="s">
        <v>1</v>
      </c>
      <c r="B2" s="306"/>
      <c r="C2" s="306"/>
      <c r="D2" s="306"/>
      <c r="E2" s="306"/>
      <c r="F2" s="306"/>
      <c r="G2" s="306"/>
      <c r="H2" s="306"/>
      <c r="I2" s="306"/>
      <c r="J2" s="307"/>
    </row>
    <row r="3" spans="1:15" ht="13.5" thickBot="1">
      <c r="A3" s="305" t="s">
        <v>66</v>
      </c>
      <c r="B3" s="306"/>
      <c r="C3" s="306"/>
      <c r="D3" s="306"/>
      <c r="E3" s="306"/>
      <c r="F3" s="306"/>
      <c r="G3" s="306"/>
      <c r="H3" s="306"/>
      <c r="I3" s="306"/>
      <c r="J3" s="307"/>
    </row>
    <row r="4" spans="1:15" ht="13.5" thickBot="1">
      <c r="A4" s="3" t="s">
        <v>142</v>
      </c>
      <c r="B4" s="4"/>
      <c r="C4" s="79"/>
      <c r="D4" s="79"/>
      <c r="E4" s="306" t="s">
        <v>180</v>
      </c>
      <c r="F4" s="306"/>
      <c r="G4" s="306"/>
      <c r="H4" s="4"/>
      <c r="I4" s="4"/>
      <c r="J4" s="281"/>
    </row>
    <row r="5" spans="1:15" ht="13.5" thickBot="1">
      <c r="A5" s="298" t="s">
        <v>36</v>
      </c>
      <c r="B5" s="302" t="s">
        <v>183</v>
      </c>
      <c r="C5" s="303"/>
      <c r="D5" s="304"/>
      <c r="E5" s="302" t="s">
        <v>184</v>
      </c>
      <c r="F5" s="303"/>
      <c r="G5" s="304"/>
      <c r="H5" s="302" t="s">
        <v>182</v>
      </c>
      <c r="I5" s="303"/>
      <c r="J5" s="304"/>
      <c r="M5" s="136" t="s">
        <v>0</v>
      </c>
      <c r="N5" s="136" t="s">
        <v>62</v>
      </c>
      <c r="O5" s="137" t="s">
        <v>94</v>
      </c>
    </row>
    <row r="6" spans="1:15" ht="21.75" customHeight="1" thickBot="1">
      <c r="A6" s="299"/>
      <c r="B6" s="223" t="s">
        <v>0</v>
      </c>
      <c r="C6" s="224" t="s">
        <v>62</v>
      </c>
      <c r="D6" s="225" t="s">
        <v>181</v>
      </c>
      <c r="E6" s="223" t="s">
        <v>0</v>
      </c>
      <c r="F6" s="224" t="s">
        <v>62</v>
      </c>
      <c r="G6" s="225" t="s">
        <v>181</v>
      </c>
      <c r="H6" s="223" t="s">
        <v>0</v>
      </c>
      <c r="I6" s="224" t="s">
        <v>62</v>
      </c>
      <c r="J6" s="282" t="s">
        <v>181</v>
      </c>
      <c r="L6" s="5" t="s">
        <v>70</v>
      </c>
      <c r="M6" s="133">
        <f>H23</f>
        <v>8333705170</v>
      </c>
      <c r="N6" s="133">
        <f>I23</f>
        <v>3774730164.3299999</v>
      </c>
      <c r="O6" s="101">
        <f>N6/M6*100</f>
        <v>45.294740902503037</v>
      </c>
    </row>
    <row r="7" spans="1:15" ht="13.5" thickBot="1">
      <c r="A7" s="5" t="s">
        <v>39</v>
      </c>
      <c r="B7" s="35">
        <f>842350000+253444598</f>
        <v>1095794598</v>
      </c>
      <c r="C7" s="35">
        <v>511015490.25999999</v>
      </c>
      <c r="D7" s="35">
        <v>341720550.25999999</v>
      </c>
      <c r="E7" s="35">
        <f>2649000000+43514000</f>
        <v>2692514000</v>
      </c>
      <c r="F7" s="98">
        <v>1305033056.74</v>
      </c>
      <c r="G7" s="280">
        <v>1304830856.74</v>
      </c>
      <c r="H7" s="26">
        <f t="shared" ref="H7:H23" si="0">+B7+E7</f>
        <v>3788308598</v>
      </c>
      <c r="I7" s="26">
        <f t="shared" ref="I7:I23" si="1">+C7+F7</f>
        <v>1816048547</v>
      </c>
      <c r="J7" s="26">
        <f t="shared" ref="J7:J23" si="2">+D7+G7</f>
        <v>1646551407</v>
      </c>
      <c r="K7" s="64"/>
      <c r="L7" s="134" t="s">
        <v>71</v>
      </c>
      <c r="M7" s="133">
        <f>H25</f>
        <v>6469190642</v>
      </c>
      <c r="N7" s="133">
        <f>I25</f>
        <v>2418363497</v>
      </c>
      <c r="O7" s="101">
        <f>N7/M7*100</f>
        <v>37.382782960502524</v>
      </c>
    </row>
    <row r="8" spans="1:15" ht="13.5" thickBot="1">
      <c r="A8" s="23" t="s">
        <v>40</v>
      </c>
      <c r="B8" s="27">
        <f>B9+B10</f>
        <v>3171890832</v>
      </c>
      <c r="C8" s="27">
        <f>C9+C10</f>
        <v>1553677689.3299999</v>
      </c>
      <c r="D8" s="255">
        <f>D9+D10</f>
        <v>1044348051.13</v>
      </c>
      <c r="E8" s="266">
        <f>SUM(E9:E10)</f>
        <v>373355740</v>
      </c>
      <c r="F8" s="261">
        <f>F9+F10</f>
        <v>144874638</v>
      </c>
      <c r="G8" s="261">
        <f t="shared" ref="G8" si="3">G9+G10</f>
        <v>19874638</v>
      </c>
      <c r="H8" s="27">
        <f t="shared" si="0"/>
        <v>3545246572</v>
      </c>
      <c r="I8" s="28">
        <f t="shared" si="1"/>
        <v>1698552327.3299999</v>
      </c>
      <c r="J8" s="26">
        <f t="shared" si="2"/>
        <v>1064222689.13</v>
      </c>
      <c r="L8" s="135" t="s">
        <v>69</v>
      </c>
      <c r="M8" s="133">
        <f>H49</f>
        <v>14802895812</v>
      </c>
      <c r="N8" s="133">
        <f>I49</f>
        <v>6193093661.3299999</v>
      </c>
      <c r="O8" s="101">
        <f>N8/M8*100</f>
        <v>41.837041481502254</v>
      </c>
    </row>
    <row r="9" spans="1:15" ht="14.25" thickBot="1">
      <c r="A9" s="6" t="s">
        <v>58</v>
      </c>
      <c r="B9" s="49">
        <f>2285000000+857890832</f>
        <v>3142890832</v>
      </c>
      <c r="C9" s="49">
        <v>1553677689.3299999</v>
      </c>
      <c r="D9" s="256">
        <v>1044348051.13</v>
      </c>
      <c r="E9" s="262">
        <f>314805740</f>
        <v>314805740</v>
      </c>
      <c r="F9" s="49">
        <v>125000000</v>
      </c>
      <c r="G9" s="49"/>
      <c r="H9" s="39">
        <f t="shared" si="0"/>
        <v>3457696572</v>
      </c>
      <c r="I9" s="30">
        <f t="shared" si="1"/>
        <v>1678677689.3299999</v>
      </c>
      <c r="J9" s="26">
        <f t="shared" si="2"/>
        <v>1044348051.13</v>
      </c>
    </row>
    <row r="10" spans="1:15" ht="14.25" thickBot="1">
      <c r="A10" s="226" t="s">
        <v>41</v>
      </c>
      <c r="B10" s="49">
        <v>29000000</v>
      </c>
      <c r="C10" s="49">
        <v>0</v>
      </c>
      <c r="D10" s="257">
        <v>0</v>
      </c>
      <c r="E10" s="262">
        <f>51000000+7550000</f>
        <v>58550000</v>
      </c>
      <c r="F10" s="49">
        <v>19874638</v>
      </c>
      <c r="G10" s="49">
        <v>19874638</v>
      </c>
      <c r="H10" s="227">
        <f t="shared" si="0"/>
        <v>87550000</v>
      </c>
      <c r="I10" s="228">
        <f t="shared" si="1"/>
        <v>19874638</v>
      </c>
      <c r="J10" s="26">
        <f t="shared" si="2"/>
        <v>19874638</v>
      </c>
    </row>
    <row r="11" spans="1:15" ht="13.5" thickBot="1">
      <c r="A11" s="147" t="s">
        <v>42</v>
      </c>
      <c r="B11" s="27">
        <f>+B12+B15+B18</f>
        <v>1000150000</v>
      </c>
      <c r="C11" s="27">
        <f>+C12+C15</f>
        <v>247242290</v>
      </c>
      <c r="D11" s="258">
        <f>+D12+D15</f>
        <v>247242290</v>
      </c>
      <c r="E11" s="263">
        <f>+E12+E15+E18</f>
        <v>0</v>
      </c>
      <c r="F11" s="31">
        <f>+F12+F15+F18</f>
        <v>0</v>
      </c>
      <c r="G11" s="31">
        <f t="shared" ref="G11" si="4">+G12+G15+G18</f>
        <v>0</v>
      </c>
      <c r="H11" s="31">
        <f t="shared" si="0"/>
        <v>1000150000</v>
      </c>
      <c r="I11" s="31">
        <f t="shared" si="1"/>
        <v>247242290</v>
      </c>
      <c r="J11" s="26">
        <f t="shared" si="2"/>
        <v>247242290</v>
      </c>
    </row>
    <row r="12" spans="1:15" ht="13.5" thickBot="1">
      <c r="A12" s="7" t="s">
        <v>43</v>
      </c>
      <c r="B12" s="31">
        <f>SUM(B13:B14)</f>
        <v>972150000</v>
      </c>
      <c r="C12" s="31">
        <f>SUM(C13+C14)</f>
        <v>247242290</v>
      </c>
      <c r="D12" s="258">
        <f>SUM(D13+D14)</f>
        <v>247242290</v>
      </c>
      <c r="E12" s="264">
        <f>SUM(E13:E14)</f>
        <v>0</v>
      </c>
      <c r="F12" s="31">
        <f>SUM(F13:F14)</f>
        <v>0</v>
      </c>
      <c r="G12" s="31">
        <f t="shared" ref="G12" si="5">SUM(G13:G14)</f>
        <v>0</v>
      </c>
      <c r="H12" s="31">
        <f t="shared" si="0"/>
        <v>972150000</v>
      </c>
      <c r="I12" s="32">
        <f t="shared" si="1"/>
        <v>247242290</v>
      </c>
      <c r="J12" s="26">
        <f t="shared" si="2"/>
        <v>247242290</v>
      </c>
    </row>
    <row r="13" spans="1:15" ht="14.25" thickBot="1">
      <c r="A13" s="6" t="s">
        <v>45</v>
      </c>
      <c r="B13" s="49">
        <v>972150000</v>
      </c>
      <c r="C13" s="49">
        <v>247242290</v>
      </c>
      <c r="D13" s="256">
        <v>247242290</v>
      </c>
      <c r="E13" s="262">
        <v>0</v>
      </c>
      <c r="F13" s="49">
        <v>0</v>
      </c>
      <c r="G13" s="49"/>
      <c r="H13" s="39">
        <f t="shared" si="0"/>
        <v>972150000</v>
      </c>
      <c r="I13" s="30">
        <f t="shared" si="1"/>
        <v>247242290</v>
      </c>
      <c r="J13" s="26">
        <f t="shared" si="2"/>
        <v>247242290</v>
      </c>
    </row>
    <row r="14" spans="1:15" ht="14.25" thickBot="1">
      <c r="A14" s="6" t="s">
        <v>67</v>
      </c>
      <c r="B14" s="49">
        <v>0</v>
      </c>
      <c r="C14" s="66">
        <v>0</v>
      </c>
      <c r="D14" s="259"/>
      <c r="E14" s="262">
        <v>0</v>
      </c>
      <c r="F14" s="49">
        <v>0</v>
      </c>
      <c r="G14" s="49"/>
      <c r="H14" s="39">
        <f t="shared" si="0"/>
        <v>0</v>
      </c>
      <c r="I14" s="40">
        <f t="shared" si="1"/>
        <v>0</v>
      </c>
      <c r="J14" s="26">
        <f t="shared" si="2"/>
        <v>0</v>
      </c>
    </row>
    <row r="15" spans="1:15" ht="14.25" thickBot="1">
      <c r="A15" s="7" t="s">
        <v>46</v>
      </c>
      <c r="B15" s="31">
        <f>SUM(B16:B17)</f>
        <v>0</v>
      </c>
      <c r="C15" s="31">
        <f>SUM(C16:C17)</f>
        <v>0</v>
      </c>
      <c r="D15" s="258"/>
      <c r="E15" s="264">
        <f>SUM(E16:E17)</f>
        <v>0</v>
      </c>
      <c r="F15" s="31">
        <f>SUM(F16:F17)</f>
        <v>0</v>
      </c>
      <c r="G15" s="31"/>
      <c r="H15" s="39">
        <f t="shared" si="0"/>
        <v>0</v>
      </c>
      <c r="I15" s="32">
        <f t="shared" si="1"/>
        <v>0</v>
      </c>
      <c r="J15" s="26">
        <f t="shared" si="2"/>
        <v>0</v>
      </c>
    </row>
    <row r="16" spans="1:15" ht="14.25" thickBot="1">
      <c r="A16" s="6" t="s">
        <v>47</v>
      </c>
      <c r="B16" s="36">
        <v>0</v>
      </c>
      <c r="C16" s="36">
        <v>0</v>
      </c>
      <c r="D16" s="260"/>
      <c r="E16" s="265">
        <v>0</v>
      </c>
      <c r="F16" s="36">
        <v>0</v>
      </c>
      <c r="G16" s="36"/>
      <c r="H16" s="39">
        <f t="shared" si="0"/>
        <v>0</v>
      </c>
      <c r="I16" s="30">
        <f t="shared" si="1"/>
        <v>0</v>
      </c>
      <c r="J16" s="26">
        <f t="shared" si="2"/>
        <v>0</v>
      </c>
      <c r="K16" s="109">
        <f>H7+H8+H11</f>
        <v>8333705170</v>
      </c>
    </row>
    <row r="17" spans="1:12" ht="14.25" thickBot="1">
      <c r="A17" s="6" t="s">
        <v>48</v>
      </c>
      <c r="B17" s="36">
        <v>0</v>
      </c>
      <c r="C17" s="36">
        <v>0</v>
      </c>
      <c r="D17" s="260"/>
      <c r="E17" s="265">
        <v>0</v>
      </c>
      <c r="F17" s="36">
        <v>0</v>
      </c>
      <c r="G17" s="36"/>
      <c r="H17" s="39">
        <f t="shared" si="0"/>
        <v>0</v>
      </c>
      <c r="I17" s="30">
        <f t="shared" si="1"/>
        <v>0</v>
      </c>
      <c r="J17" s="26">
        <f t="shared" si="2"/>
        <v>0</v>
      </c>
    </row>
    <row r="18" spans="1:12" ht="13.5" thickBot="1">
      <c r="A18" s="7" t="s">
        <v>49</v>
      </c>
      <c r="B18" s="31">
        <f>B19+B21+B22</f>
        <v>28000000</v>
      </c>
      <c r="C18" s="31">
        <f>+C19+C21+C22</f>
        <v>12887000</v>
      </c>
      <c r="D18" s="258">
        <f>+D19+D21+D22</f>
        <v>12887000</v>
      </c>
      <c r="E18" s="264">
        <f>+E19+E22</f>
        <v>0</v>
      </c>
      <c r="F18" s="31">
        <f>+F19+F22</f>
        <v>0</v>
      </c>
      <c r="G18" s="31">
        <f t="shared" ref="G18" si="6">+G19+G22</f>
        <v>0</v>
      </c>
      <c r="H18" s="31">
        <f t="shared" si="0"/>
        <v>28000000</v>
      </c>
      <c r="I18" s="31">
        <f t="shared" si="1"/>
        <v>12887000</v>
      </c>
      <c r="J18" s="26">
        <f t="shared" si="2"/>
        <v>12887000</v>
      </c>
    </row>
    <row r="19" spans="1:12" ht="13.5" thickBot="1">
      <c r="A19" s="7" t="s">
        <v>50</v>
      </c>
      <c r="B19" s="31">
        <f>B20</f>
        <v>0</v>
      </c>
      <c r="C19" s="31">
        <f>+C20</f>
        <v>0</v>
      </c>
      <c r="D19" s="258"/>
      <c r="E19" s="264">
        <f>+E20</f>
        <v>0</v>
      </c>
      <c r="F19" s="31">
        <f>+F20</f>
        <v>0</v>
      </c>
      <c r="G19" s="31"/>
      <c r="H19" s="31">
        <f t="shared" si="0"/>
        <v>0</v>
      </c>
      <c r="I19" s="32">
        <f t="shared" si="1"/>
        <v>0</v>
      </c>
      <c r="J19" s="26">
        <f t="shared" si="2"/>
        <v>0</v>
      </c>
    </row>
    <row r="20" spans="1:12" ht="13.5" thickBot="1">
      <c r="A20" s="6" t="s">
        <v>51</v>
      </c>
      <c r="B20" s="36"/>
      <c r="C20" s="36"/>
      <c r="D20" s="260"/>
      <c r="E20" s="265">
        <v>0</v>
      </c>
      <c r="F20" s="36">
        <v>0</v>
      </c>
      <c r="G20" s="36"/>
      <c r="H20" s="29">
        <f t="shared" si="0"/>
        <v>0</v>
      </c>
      <c r="I20" s="29">
        <f t="shared" si="1"/>
        <v>0</v>
      </c>
      <c r="J20" s="26">
        <f t="shared" si="2"/>
        <v>0</v>
      </c>
    </row>
    <row r="21" spans="1:12" ht="14.25" thickBot="1">
      <c r="A21" s="6" t="s">
        <v>44</v>
      </c>
      <c r="B21" s="49">
        <v>11000000</v>
      </c>
      <c r="C21" s="49">
        <v>0</v>
      </c>
      <c r="D21" s="256">
        <v>0</v>
      </c>
      <c r="E21" s="267">
        <v>0</v>
      </c>
      <c r="F21" s="49">
        <v>0</v>
      </c>
      <c r="G21" s="49"/>
      <c r="H21" s="39">
        <f t="shared" si="0"/>
        <v>11000000</v>
      </c>
      <c r="I21" s="30">
        <f t="shared" si="1"/>
        <v>0</v>
      </c>
      <c r="J21" s="26">
        <f t="shared" si="2"/>
        <v>0</v>
      </c>
    </row>
    <row r="22" spans="1:12" ht="14.25" thickBot="1">
      <c r="A22" s="8" t="s">
        <v>179</v>
      </c>
      <c r="B22" s="50">
        <v>17000000</v>
      </c>
      <c r="C22" s="37">
        <v>12887000</v>
      </c>
      <c r="D22" s="268">
        <v>12887000</v>
      </c>
      <c r="E22" s="272">
        <v>0</v>
      </c>
      <c r="F22" s="270">
        <v>0</v>
      </c>
      <c r="G22" s="37"/>
      <c r="H22" s="41">
        <f t="shared" si="0"/>
        <v>17000000</v>
      </c>
      <c r="I22" s="41">
        <f t="shared" si="1"/>
        <v>12887000</v>
      </c>
      <c r="J22" s="26">
        <f t="shared" si="2"/>
        <v>12887000</v>
      </c>
    </row>
    <row r="23" spans="1:12" ht="13.5" thickBot="1">
      <c r="A23" s="5" t="s">
        <v>52</v>
      </c>
      <c r="B23" s="26">
        <f>B7+B8+B11</f>
        <v>5267835430</v>
      </c>
      <c r="C23" s="26">
        <f>+C7+C8+C11+C18</f>
        <v>2324822469.5900002</v>
      </c>
      <c r="D23" s="269">
        <f>+D7+D8+D11+D18</f>
        <v>1646197891.3899999</v>
      </c>
      <c r="E23" s="254">
        <f>+E7+E8+E11</f>
        <v>3065869740</v>
      </c>
      <c r="F23" s="271">
        <f>F7+F8</f>
        <v>1449907694.74</v>
      </c>
      <c r="G23" s="271">
        <f t="shared" ref="G23" si="7">G7+G8</f>
        <v>1324705494.74</v>
      </c>
      <c r="H23" s="26">
        <f t="shared" si="0"/>
        <v>8333705170</v>
      </c>
      <c r="I23" s="26">
        <f t="shared" si="1"/>
        <v>3774730164.3299999</v>
      </c>
      <c r="J23" s="26">
        <f t="shared" si="2"/>
        <v>2970903386.1300001</v>
      </c>
      <c r="K23" s="64">
        <f>I23/H23</f>
        <v>0.45294740902503033</v>
      </c>
    </row>
    <row r="24" spans="1:12" ht="13.5" thickBot="1">
      <c r="A24" s="24"/>
      <c r="B24" s="33"/>
      <c r="C24" s="33"/>
      <c r="D24" s="33"/>
      <c r="E24" s="33"/>
      <c r="F24" s="33"/>
      <c r="G24" s="33"/>
      <c r="H24" s="34"/>
      <c r="I24" s="34"/>
      <c r="J24" s="34"/>
    </row>
    <row r="25" spans="1:12" ht="13.5" thickBot="1">
      <c r="A25" s="5" t="s">
        <v>53</v>
      </c>
      <c r="B25" s="51">
        <f>B26+B30+B33+B37+B40+B43+B46</f>
        <v>6469190642</v>
      </c>
      <c r="C25" s="51">
        <f>C26+C30+C33+C37+C40+C43+C46</f>
        <v>2418363497</v>
      </c>
      <c r="D25" s="51">
        <f>D26+D30+D33+D37+D40+D43+D46</f>
        <v>1888898886</v>
      </c>
      <c r="E25" s="239">
        <f>E26+E30+E33+E37+E40+E43+E46+E47</f>
        <v>0</v>
      </c>
      <c r="F25" s="238">
        <f>F26+F30+F33+F37+F40+F43+F46+F47</f>
        <v>0</v>
      </c>
      <c r="G25" s="51">
        <f>G26+G30+G33+G37+G40+G43+G46+G47</f>
        <v>0</v>
      </c>
      <c r="H25" s="51">
        <f t="shared" ref="H25:H45" si="8">+B25+E25</f>
        <v>6469190642</v>
      </c>
      <c r="I25" s="54">
        <f t="shared" ref="I25:I45" si="9">+C25+F25</f>
        <v>2418363497</v>
      </c>
      <c r="J25" s="54">
        <f t="shared" ref="J25:J45" si="10">+D25+G25</f>
        <v>1888898886</v>
      </c>
      <c r="K25" s="64">
        <f>I25/H25</f>
        <v>0.37382782960502525</v>
      </c>
    </row>
    <row r="26" spans="1:12" ht="14.25" thickBot="1">
      <c r="A26" s="25" t="s">
        <v>74</v>
      </c>
      <c r="B26" s="45">
        <f>SUM(B27:B29)</f>
        <v>641983875</v>
      </c>
      <c r="C26" s="45">
        <f>SUM(C27:C29)</f>
        <v>297273510</v>
      </c>
      <c r="D26" s="275">
        <f>SUM(D27:D29)</f>
        <v>197904410</v>
      </c>
      <c r="E26" s="240">
        <f>SUM(E27:E28)</f>
        <v>0</v>
      </c>
      <c r="F26" s="248">
        <f>SUM(F27:F28)</f>
        <v>0</v>
      </c>
      <c r="G26" s="45">
        <f t="shared" ref="G26" si="11">SUM(G27:G28)</f>
        <v>0</v>
      </c>
      <c r="H26" s="55">
        <f t="shared" si="8"/>
        <v>641983875</v>
      </c>
      <c r="I26" s="56">
        <f t="shared" si="9"/>
        <v>297273510</v>
      </c>
      <c r="J26" s="54">
        <f t="shared" si="10"/>
        <v>197904410</v>
      </c>
    </row>
    <row r="27" spans="1:12" ht="26.25" thickBot="1">
      <c r="A27" s="62" t="s">
        <v>75</v>
      </c>
      <c r="B27" s="289">
        <f>273122362+6406000</f>
        <v>279528362</v>
      </c>
      <c r="C27" s="273">
        <v>131869043</v>
      </c>
      <c r="D27" s="274">
        <v>104410943</v>
      </c>
      <c r="E27" s="276">
        <v>0</v>
      </c>
      <c r="F27" s="249">
        <v>0</v>
      </c>
      <c r="G27" s="229"/>
      <c r="H27" s="130">
        <f t="shared" si="8"/>
        <v>279528362</v>
      </c>
      <c r="I27" s="278">
        <f t="shared" si="9"/>
        <v>131869043</v>
      </c>
      <c r="J27" s="284">
        <f t="shared" si="10"/>
        <v>104410943</v>
      </c>
    </row>
    <row r="28" spans="1:12" ht="16.5" customHeight="1" thickBot="1">
      <c r="A28" s="63" t="s">
        <v>76</v>
      </c>
      <c r="B28" s="38">
        <f>187999197+3623000</f>
        <v>191622197</v>
      </c>
      <c r="C28" s="38">
        <v>98941967</v>
      </c>
      <c r="D28" s="230">
        <v>27066367</v>
      </c>
      <c r="E28" s="243">
        <v>0</v>
      </c>
      <c r="F28" s="38">
        <v>0</v>
      </c>
      <c r="G28" s="38"/>
      <c r="H28" s="53">
        <f t="shared" si="8"/>
        <v>191622197</v>
      </c>
      <c r="I28" s="278">
        <f t="shared" si="9"/>
        <v>98941967</v>
      </c>
      <c r="J28" s="284">
        <f t="shared" si="10"/>
        <v>27066367</v>
      </c>
    </row>
    <row r="29" spans="1:12" ht="14.25" thickBot="1">
      <c r="A29" s="90" t="s">
        <v>77</v>
      </c>
      <c r="B29" s="38">
        <f>166566316+4267000</f>
        <v>170833316</v>
      </c>
      <c r="C29" s="38">
        <v>66462500</v>
      </c>
      <c r="D29" s="230">
        <v>66427100</v>
      </c>
      <c r="E29" s="243"/>
      <c r="F29" s="38"/>
      <c r="G29" s="38"/>
      <c r="H29" s="53">
        <f t="shared" si="8"/>
        <v>170833316</v>
      </c>
      <c r="I29" s="278">
        <f t="shared" si="9"/>
        <v>66462500</v>
      </c>
      <c r="J29" s="284">
        <f t="shared" si="10"/>
        <v>66427100</v>
      </c>
    </row>
    <row r="30" spans="1:12" ht="14.25" thickBot="1">
      <c r="A30" s="9" t="s">
        <v>78</v>
      </c>
      <c r="B30" s="44">
        <f>SUM(B31:B32)</f>
        <v>1138853029</v>
      </c>
      <c r="C30" s="44">
        <f>SUM(C31:C32)</f>
        <v>473741803</v>
      </c>
      <c r="D30" s="231">
        <f>SUM(D31:D32)</f>
        <v>424050633</v>
      </c>
      <c r="E30" s="244">
        <f>SUM(E31:E32)</f>
        <v>0</v>
      </c>
      <c r="F30" s="44">
        <f>SUM(F31:F32)</f>
        <v>0</v>
      </c>
      <c r="G30" s="44">
        <f t="shared" ref="G30" si="12">SUM(G31:G32)</f>
        <v>0</v>
      </c>
      <c r="H30" s="58">
        <f t="shared" si="8"/>
        <v>1138853029</v>
      </c>
      <c r="I30" s="59">
        <f t="shared" si="9"/>
        <v>473741803</v>
      </c>
      <c r="J30" s="54">
        <f t="shared" si="10"/>
        <v>424050633</v>
      </c>
    </row>
    <row r="31" spans="1:12" ht="26.25" thickBot="1">
      <c r="A31" s="63" t="s">
        <v>79</v>
      </c>
      <c r="B31" s="67">
        <f>633220535-13791506+43214000</f>
        <v>662643029</v>
      </c>
      <c r="C31" s="67">
        <v>269014453</v>
      </c>
      <c r="D31" s="232">
        <v>248458653</v>
      </c>
      <c r="E31" s="243">
        <v>0</v>
      </c>
      <c r="F31" s="38">
        <v>0</v>
      </c>
      <c r="G31" s="38"/>
      <c r="H31" s="53">
        <f t="shared" si="8"/>
        <v>662643029</v>
      </c>
      <c r="I31" s="57">
        <f t="shared" si="9"/>
        <v>269014453</v>
      </c>
      <c r="J31" s="284">
        <f t="shared" si="10"/>
        <v>248458653</v>
      </c>
    </row>
    <row r="32" spans="1:12" ht="14.25" thickBot="1">
      <c r="A32" s="63" t="s">
        <v>80</v>
      </c>
      <c r="B32" s="38">
        <f>450208494+13791506+12210000</f>
        <v>476210000</v>
      </c>
      <c r="C32" s="38">
        <v>204727350</v>
      </c>
      <c r="D32" s="230">
        <v>175591980</v>
      </c>
      <c r="E32" s="243">
        <v>0</v>
      </c>
      <c r="F32" s="38">
        <v>0</v>
      </c>
      <c r="G32" s="38">
        <v>0</v>
      </c>
      <c r="H32" s="58">
        <f t="shared" si="8"/>
        <v>476210000</v>
      </c>
      <c r="I32" s="57">
        <f t="shared" si="9"/>
        <v>204727350</v>
      </c>
      <c r="J32" s="284">
        <f t="shared" si="10"/>
        <v>175591980</v>
      </c>
      <c r="L32" s="109">
        <f>B23-3904833188</f>
        <v>1363002242</v>
      </c>
    </row>
    <row r="33" spans="1:13" ht="24" thickBot="1">
      <c r="A33" s="43" t="s">
        <v>81</v>
      </c>
      <c r="B33" s="52">
        <f>SUM(B34:B36)</f>
        <v>1717692262</v>
      </c>
      <c r="C33" s="44">
        <f>SUM(C34:C36)</f>
        <v>625579543</v>
      </c>
      <c r="D33" s="231">
        <f>SUM(D34:D36)</f>
        <v>446337297</v>
      </c>
      <c r="E33" s="243">
        <f>SUM(E34:E35)</f>
        <v>0</v>
      </c>
      <c r="F33" s="38">
        <f>SUM(F34:F35)</f>
        <v>0</v>
      </c>
      <c r="G33" s="38">
        <f t="shared" ref="G33" si="13">SUM(G34:G35)</f>
        <v>0</v>
      </c>
      <c r="H33" s="58">
        <f t="shared" si="8"/>
        <v>1717692262</v>
      </c>
      <c r="I33" s="59">
        <f t="shared" si="9"/>
        <v>625579543</v>
      </c>
      <c r="J33" s="54">
        <f t="shared" si="10"/>
        <v>446337297</v>
      </c>
      <c r="K33" s="103">
        <v>7529777751.9700003</v>
      </c>
    </row>
    <row r="34" spans="1:13" ht="14.25" thickBot="1">
      <c r="A34" s="42" t="s">
        <v>82</v>
      </c>
      <c r="B34" s="290">
        <f>731549993+165000000+48190639</f>
        <v>944740632</v>
      </c>
      <c r="C34" s="38">
        <v>451417543</v>
      </c>
      <c r="D34" s="230">
        <v>272258297</v>
      </c>
      <c r="E34" s="243">
        <v>0</v>
      </c>
      <c r="F34" s="38">
        <v>0</v>
      </c>
      <c r="G34" s="38"/>
      <c r="H34" s="53">
        <f t="shared" si="8"/>
        <v>944740632</v>
      </c>
      <c r="I34" s="57">
        <f t="shared" si="9"/>
        <v>451417543</v>
      </c>
      <c r="J34" s="284">
        <f t="shared" si="10"/>
        <v>272258297</v>
      </c>
    </row>
    <row r="35" spans="1:13" ht="14.25" thickBot="1">
      <c r="A35" s="279" t="s">
        <v>83</v>
      </c>
      <c r="B35" s="291">
        <f>640338090+17900000</f>
        <v>658238090</v>
      </c>
      <c r="C35" s="38">
        <v>156097961</v>
      </c>
      <c r="D35" s="230">
        <v>156014961</v>
      </c>
      <c r="E35" s="243">
        <v>0</v>
      </c>
      <c r="F35" s="38">
        <v>0</v>
      </c>
      <c r="G35" s="38"/>
      <c r="H35" s="53">
        <f t="shared" si="8"/>
        <v>658238090</v>
      </c>
      <c r="I35" s="57">
        <f t="shared" si="9"/>
        <v>156097961</v>
      </c>
      <c r="J35" s="284">
        <f t="shared" si="10"/>
        <v>156014961</v>
      </c>
      <c r="K35" s="102">
        <f>C25-K33</f>
        <v>-5111414254.9700003</v>
      </c>
    </row>
    <row r="36" spans="1:13" ht="14.25" thickBot="1">
      <c r="A36" s="42" t="s">
        <v>84</v>
      </c>
      <c r="B36" s="292">
        <f>113192540+1521000</f>
        <v>114713540</v>
      </c>
      <c r="C36" s="38">
        <v>18064039</v>
      </c>
      <c r="D36" s="230">
        <v>18064039</v>
      </c>
      <c r="E36" s="243"/>
      <c r="F36" s="38"/>
      <c r="G36" s="38"/>
      <c r="H36" s="58">
        <f t="shared" si="8"/>
        <v>114713540</v>
      </c>
      <c r="I36" s="57">
        <f t="shared" si="9"/>
        <v>18064039</v>
      </c>
      <c r="J36" s="284">
        <f t="shared" si="10"/>
        <v>18064039</v>
      </c>
    </row>
    <row r="37" spans="1:13" ht="14.25" thickBot="1">
      <c r="A37" s="43" t="s">
        <v>85</v>
      </c>
      <c r="B37" s="52">
        <f>SUM(B38:B39)</f>
        <v>985291771</v>
      </c>
      <c r="C37" s="44">
        <f>SUM(C38:C39)</f>
        <v>250404795</v>
      </c>
      <c r="D37" s="44">
        <f>SUM(D38:D39)</f>
        <v>220144270</v>
      </c>
      <c r="E37" s="244">
        <f>SUM(E38:E39)</f>
        <v>0</v>
      </c>
      <c r="F37" s="44">
        <f>SUM(F38:F39)</f>
        <v>0</v>
      </c>
      <c r="G37" s="44">
        <f t="shared" ref="G37" si="14">SUM(G38:G39)</f>
        <v>0</v>
      </c>
      <c r="H37" s="58">
        <f t="shared" si="8"/>
        <v>985291771</v>
      </c>
      <c r="I37" s="59">
        <f t="shared" si="9"/>
        <v>250404795</v>
      </c>
      <c r="J37" s="54">
        <f t="shared" si="10"/>
        <v>220144270</v>
      </c>
    </row>
    <row r="38" spans="1:13" ht="14.25" thickBot="1">
      <c r="A38" s="70" t="s">
        <v>86</v>
      </c>
      <c r="B38" s="292">
        <f>337772038+140000000+208427000</f>
        <v>686199038</v>
      </c>
      <c r="C38" s="222">
        <v>150890129</v>
      </c>
      <c r="D38" s="233">
        <v>120690504</v>
      </c>
      <c r="E38" s="245">
        <v>0</v>
      </c>
      <c r="F38" s="38">
        <v>0</v>
      </c>
      <c r="G38" s="222"/>
      <c r="H38" s="53">
        <f t="shared" si="8"/>
        <v>686199038</v>
      </c>
      <c r="I38" s="57">
        <f t="shared" si="9"/>
        <v>150890129</v>
      </c>
      <c r="J38" s="284">
        <f t="shared" si="10"/>
        <v>120690504</v>
      </c>
    </row>
    <row r="39" spans="1:13" ht="14.25" thickBot="1">
      <c r="A39" s="47" t="s">
        <v>87</v>
      </c>
      <c r="B39" s="67">
        <f>291746733+7346000</f>
        <v>299092733</v>
      </c>
      <c r="C39" s="67">
        <v>99514666</v>
      </c>
      <c r="D39" s="232">
        <v>99453766</v>
      </c>
      <c r="E39" s="243">
        <v>0</v>
      </c>
      <c r="F39" s="38">
        <v>0</v>
      </c>
      <c r="G39" s="38"/>
      <c r="H39" s="53">
        <f t="shared" si="8"/>
        <v>299092733</v>
      </c>
      <c r="I39" s="57">
        <f t="shared" si="9"/>
        <v>99514666</v>
      </c>
      <c r="J39" s="284">
        <f t="shared" si="10"/>
        <v>99453766</v>
      </c>
    </row>
    <row r="40" spans="1:13" ht="14.25" thickBot="1">
      <c r="A40" s="72" t="s">
        <v>89</v>
      </c>
      <c r="B40" s="73">
        <f>SUM(B41:B42)</f>
        <v>678581070</v>
      </c>
      <c r="C40" s="73">
        <f>SUM(C41:C42)</f>
        <v>197228127</v>
      </c>
      <c r="D40" s="73">
        <f>SUM(D41:D42)</f>
        <v>197109927</v>
      </c>
      <c r="E40" s="250">
        <f>SUM(E41:E42)</f>
        <v>0</v>
      </c>
      <c r="F40" s="44">
        <f>SUM(F41:F42)</f>
        <v>0</v>
      </c>
      <c r="G40" s="74"/>
      <c r="H40" s="75">
        <f t="shared" si="8"/>
        <v>678581070</v>
      </c>
      <c r="I40" s="76">
        <f t="shared" si="9"/>
        <v>197228127</v>
      </c>
      <c r="J40" s="54">
        <f t="shared" si="10"/>
        <v>197109927</v>
      </c>
    </row>
    <row r="41" spans="1:13" ht="14.25" thickBot="1">
      <c r="A41" s="42" t="s">
        <v>90</v>
      </c>
      <c r="B41" s="292">
        <f>413999764+11171000</f>
        <v>425170764</v>
      </c>
      <c r="C41" s="38">
        <v>159526189</v>
      </c>
      <c r="D41" s="230">
        <v>159432089</v>
      </c>
      <c r="E41" s="246">
        <v>0</v>
      </c>
      <c r="F41" s="38">
        <v>0</v>
      </c>
      <c r="G41" s="93"/>
      <c r="H41" s="75">
        <f t="shared" si="8"/>
        <v>425170764</v>
      </c>
      <c r="I41" s="76">
        <f t="shared" si="9"/>
        <v>159526189</v>
      </c>
      <c r="J41" s="284">
        <f t="shared" si="10"/>
        <v>159432089</v>
      </c>
      <c r="M41" s="132">
        <f>983652939-I25</f>
        <v>-1434710558</v>
      </c>
    </row>
    <row r="42" spans="1:13" ht="14.25" thickBot="1">
      <c r="A42" s="47" t="s">
        <v>91</v>
      </c>
      <c r="B42" s="293">
        <f>247240306+6170000</f>
        <v>253410306</v>
      </c>
      <c r="C42" s="67">
        <v>37701938</v>
      </c>
      <c r="D42" s="232">
        <v>37677838</v>
      </c>
      <c r="E42" s="243">
        <v>0</v>
      </c>
      <c r="F42" s="38">
        <v>0</v>
      </c>
      <c r="G42" s="93"/>
      <c r="H42" s="75">
        <f t="shared" si="8"/>
        <v>253410306</v>
      </c>
      <c r="I42" s="76">
        <f t="shared" si="9"/>
        <v>37701938</v>
      </c>
      <c r="J42" s="284">
        <f t="shared" si="10"/>
        <v>37677838</v>
      </c>
    </row>
    <row r="43" spans="1:13" ht="14.25" thickBot="1">
      <c r="A43" s="43" t="s">
        <v>92</v>
      </c>
      <c r="B43" s="52">
        <f>SUM(B44:B45)</f>
        <v>1306788635</v>
      </c>
      <c r="C43" s="52">
        <f t="shared" ref="C43:G43" si="15">SUM(C44:C45)</f>
        <v>574135719</v>
      </c>
      <c r="D43" s="52">
        <f t="shared" si="15"/>
        <v>403352349</v>
      </c>
      <c r="E43" s="52">
        <f t="shared" si="15"/>
        <v>0</v>
      </c>
      <c r="F43" s="52">
        <f t="shared" si="15"/>
        <v>0</v>
      </c>
      <c r="G43" s="52">
        <f t="shared" si="15"/>
        <v>0</v>
      </c>
      <c r="H43" s="58">
        <f t="shared" si="8"/>
        <v>1306788635</v>
      </c>
      <c r="I43" s="59">
        <f t="shared" si="9"/>
        <v>574135719</v>
      </c>
      <c r="J43" s="54">
        <f t="shared" si="10"/>
        <v>403352349</v>
      </c>
    </row>
    <row r="44" spans="1:13" ht="26.25" thickBot="1">
      <c r="A44" s="47" t="s">
        <v>93</v>
      </c>
      <c r="B44" s="67">
        <f>762514412+95664567-74476565</f>
        <v>783702414</v>
      </c>
      <c r="C44" s="67">
        <v>382815088</v>
      </c>
      <c r="D44" s="67">
        <v>297431988</v>
      </c>
      <c r="E44" s="38">
        <v>0</v>
      </c>
      <c r="F44" s="38">
        <v>0</v>
      </c>
      <c r="G44" s="38"/>
      <c r="H44" s="130">
        <f t="shared" si="8"/>
        <v>783702414</v>
      </c>
      <c r="I44" s="283">
        <f t="shared" si="9"/>
        <v>382815088</v>
      </c>
      <c r="J44" s="284">
        <f t="shared" si="10"/>
        <v>297431988</v>
      </c>
    </row>
    <row r="45" spans="1:13" ht="14.25" thickBot="1">
      <c r="A45" s="91" t="s">
        <v>88</v>
      </c>
      <c r="B45" s="67">
        <f>266529220+256557001</f>
        <v>523086221</v>
      </c>
      <c r="C45" s="92">
        <v>191320631</v>
      </c>
      <c r="D45" s="234">
        <v>105920361</v>
      </c>
      <c r="E45" s="246"/>
      <c r="F45" s="38"/>
      <c r="G45" s="93"/>
      <c r="H45" s="53">
        <f t="shared" si="8"/>
        <v>523086221</v>
      </c>
      <c r="I45" s="59">
        <f t="shared" si="9"/>
        <v>191320631</v>
      </c>
      <c r="J45" s="284">
        <f t="shared" si="10"/>
        <v>105920361</v>
      </c>
    </row>
    <row r="46" spans="1:13" ht="14.25" thickBot="1">
      <c r="A46" s="147" t="s">
        <v>131</v>
      </c>
      <c r="B46" s="131"/>
      <c r="C46" s="131"/>
      <c r="D46" s="235"/>
      <c r="E46" s="247"/>
      <c r="F46" s="146"/>
      <c r="G46" s="146"/>
      <c r="H46" s="131">
        <f>+B46+E46</f>
        <v>0</v>
      </c>
      <c r="I46" s="277">
        <f>+C46+F46</f>
        <v>0</v>
      </c>
      <c r="J46" s="54">
        <f>+D46+G46+I46</f>
        <v>0</v>
      </c>
    </row>
    <row r="47" spans="1:13" ht="14.25" thickBot="1">
      <c r="A47" s="148" t="s">
        <v>140</v>
      </c>
      <c r="B47" s="149"/>
      <c r="C47" s="149"/>
      <c r="D47" s="236"/>
      <c r="E47" s="251"/>
      <c r="F47" s="150"/>
      <c r="G47" s="150"/>
      <c r="H47" s="149"/>
      <c r="I47" s="71"/>
      <c r="J47" s="54">
        <f>+D47+G47+I47</f>
        <v>0</v>
      </c>
    </row>
    <row r="48" spans="1:13" ht="14.25" thickBot="1">
      <c r="A48" s="152"/>
      <c r="B48" s="153"/>
      <c r="C48" s="153"/>
      <c r="D48" s="153"/>
      <c r="E48" s="241"/>
      <c r="F48" s="252"/>
      <c r="G48" s="153"/>
      <c r="H48" s="154"/>
      <c r="I48" s="155">
        <f>+C48+F48</f>
        <v>0</v>
      </c>
      <c r="J48" s="54">
        <f>+D48+G48+I48</f>
        <v>0</v>
      </c>
    </row>
    <row r="49" spans="1:11" ht="13.5" thickBot="1">
      <c r="A49" s="46" t="s">
        <v>54</v>
      </c>
      <c r="B49" s="151">
        <f>B23+B25</f>
        <v>11737026072</v>
      </c>
      <c r="C49" s="151">
        <f>C23+C25</f>
        <v>4743185966.5900002</v>
      </c>
      <c r="D49" s="237">
        <f>D23+D25</f>
        <v>3535096777.3899999</v>
      </c>
      <c r="E49" s="242">
        <f>E23+E25</f>
        <v>3065869740</v>
      </c>
      <c r="F49" s="254">
        <f>F23+F25</f>
        <v>1449907694.74</v>
      </c>
      <c r="G49" s="253">
        <f t="shared" ref="G49" si="16">G23+G25</f>
        <v>1324705494.74</v>
      </c>
      <c r="H49" s="254">
        <f>H23+H25</f>
        <v>14802895812</v>
      </c>
      <c r="I49" s="254">
        <f t="shared" ref="I49:J49" si="17">I23+I25</f>
        <v>6193093661.3299999</v>
      </c>
      <c r="J49" s="254">
        <f t="shared" si="17"/>
        <v>4859802272.1300001</v>
      </c>
      <c r="K49" s="65">
        <f>I49/H49</f>
        <v>0.41837041481502252</v>
      </c>
    </row>
    <row r="50" spans="1:11">
      <c r="A50" s="300"/>
      <c r="B50" s="301"/>
      <c r="C50" s="301"/>
      <c r="D50" s="301"/>
      <c r="E50" s="301"/>
      <c r="F50" s="301"/>
      <c r="G50" s="301"/>
      <c r="H50" s="301"/>
      <c r="I50" s="301"/>
    </row>
    <row r="51" spans="1:11">
      <c r="A51" s="286"/>
      <c r="B51" s="285"/>
      <c r="C51" s="285"/>
      <c r="D51" s="285"/>
      <c r="E51" s="288">
        <v>2692514000</v>
      </c>
      <c r="F51" s="285"/>
      <c r="G51" s="285"/>
      <c r="H51" s="285"/>
      <c r="I51" s="285"/>
    </row>
    <row r="52" spans="1:11">
      <c r="A52" s="2"/>
      <c r="B52" s="2"/>
      <c r="C52" s="2"/>
      <c r="D52" s="2"/>
      <c r="E52" s="287">
        <v>373355740</v>
      </c>
      <c r="F52" s="2"/>
      <c r="G52" s="2"/>
      <c r="H52" s="2"/>
      <c r="I52" s="2"/>
    </row>
    <row r="53" spans="1:11">
      <c r="A53" s="2"/>
      <c r="B53" s="2"/>
      <c r="C53" s="104"/>
      <c r="D53" s="104"/>
      <c r="E53" s="2"/>
      <c r="F53" s="104"/>
      <c r="G53" s="104"/>
      <c r="I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</row>
    <row r="56" spans="1:11">
      <c r="F56" s="61"/>
      <c r="G56" s="61"/>
    </row>
  </sheetData>
  <mergeCells count="9">
    <mergeCell ref="A50:I50"/>
    <mergeCell ref="A1:I1"/>
    <mergeCell ref="A2:J2"/>
    <mergeCell ref="A3:J3"/>
    <mergeCell ref="E4:G4"/>
    <mergeCell ref="A5:A6"/>
    <mergeCell ref="B5:D5"/>
    <mergeCell ref="E5:G5"/>
    <mergeCell ref="H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Anexo 5-1 Ingresos</vt:lpstr>
      <vt:lpstr>Anexo 5-2 Gastos</vt:lpstr>
      <vt:lpstr>Interpretacion de Resultados</vt:lpstr>
      <vt:lpstr>Hoja1</vt:lpstr>
      <vt:lpstr>Hoja2</vt:lpstr>
      <vt:lpstr>Inversion</vt:lpstr>
      <vt:lpstr>Pagos</vt:lpstr>
      <vt:lpstr>'Anexo 5-1 Ingresos'!Área_de_impresión</vt:lpstr>
      <vt:lpstr>'Anexo 5-2 Gastos'!Área_de_impresión</vt:lpstr>
      <vt:lpstr>'Anexo 5-1 Ingresos'!Títulos_a_imprimir</vt:lpstr>
      <vt:lpstr>'Anexo 5-2 Gastos'!Títulos_a_imprimir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Vargas</dc:creator>
  <cp:lastModifiedBy>Funcionario</cp:lastModifiedBy>
  <cp:lastPrinted>2016-03-22T21:39:14Z</cp:lastPrinted>
  <dcterms:created xsi:type="dcterms:W3CDTF">2004-01-28T22:51:19Z</dcterms:created>
  <dcterms:modified xsi:type="dcterms:W3CDTF">2016-07-29T14:50:03Z</dcterms:modified>
</cp:coreProperties>
</file>