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0730" windowHeight="11760"/>
  </bookViews>
  <sheets>
    <sheet name="Anexo 1 Matriz Informe Gestión" sheetId="1" r:id="rId1"/>
    <sheet name="Anexo 2 Protoco Inform Gestión" sheetId="4" r:id="rId2"/>
    <sheet name="Anexo 5 - 1 Ingresos" sheetId="2" r:id="rId3"/>
    <sheet name="Anexo 5 - 2 Gastos" sheetId="3" r:id="rId4"/>
  </sheets>
  <externalReferences>
    <externalReference r:id="rId5"/>
  </externalReferences>
  <calcPr calcId="144525"/>
</workbook>
</file>

<file path=xl/calcChain.xml><?xml version="1.0" encoding="utf-8"?>
<calcChain xmlns="http://schemas.openxmlformats.org/spreadsheetml/2006/main">
  <c r="H21" i="1" l="1"/>
  <c r="L49" i="3" l="1"/>
  <c r="M49" i="3" s="1"/>
  <c r="M48" i="3"/>
  <c r="L47" i="3"/>
  <c r="M47" i="3" s="1"/>
  <c r="K47" i="3"/>
  <c r="M46" i="3"/>
  <c r="L46" i="3"/>
  <c r="B46" i="3"/>
  <c r="K46" i="3" s="1"/>
  <c r="M45" i="3"/>
  <c r="L45" i="3"/>
  <c r="B45" i="3"/>
  <c r="K45" i="3" s="1"/>
  <c r="M44" i="3"/>
  <c r="J44" i="3"/>
  <c r="I44" i="3"/>
  <c r="H44" i="3"/>
  <c r="G44" i="3"/>
  <c r="F44" i="3"/>
  <c r="E44" i="3"/>
  <c r="D44" i="3"/>
  <c r="C44" i="3"/>
  <c r="L44" i="3" s="1"/>
  <c r="B44" i="3"/>
  <c r="K44" i="3" s="1"/>
  <c r="M43" i="3"/>
  <c r="L43" i="3"/>
  <c r="B43" i="3"/>
  <c r="K43" i="3" s="1"/>
  <c r="M42" i="3"/>
  <c r="L42" i="3"/>
  <c r="B42" i="3"/>
  <c r="K42" i="3" s="1"/>
  <c r="M41" i="3"/>
  <c r="J41" i="3"/>
  <c r="I41" i="3"/>
  <c r="H41" i="3"/>
  <c r="G41" i="3"/>
  <c r="F41" i="3"/>
  <c r="E41" i="3"/>
  <c r="D41" i="3"/>
  <c r="C41" i="3"/>
  <c r="L41" i="3" s="1"/>
  <c r="B41" i="3"/>
  <c r="K41" i="3" s="1"/>
  <c r="M40" i="3"/>
  <c r="L40" i="3"/>
  <c r="B40" i="3"/>
  <c r="K40" i="3" s="1"/>
  <c r="M39" i="3"/>
  <c r="L39" i="3"/>
  <c r="B39" i="3"/>
  <c r="K39" i="3" s="1"/>
  <c r="M38" i="3"/>
  <c r="J38" i="3"/>
  <c r="I38" i="3"/>
  <c r="H38" i="3"/>
  <c r="G38" i="3"/>
  <c r="F38" i="3"/>
  <c r="E38" i="3"/>
  <c r="D38" i="3"/>
  <c r="C38" i="3"/>
  <c r="L38" i="3" s="1"/>
  <c r="B38" i="3"/>
  <c r="K38" i="3" s="1"/>
  <c r="M37" i="3"/>
  <c r="L37" i="3"/>
  <c r="B37" i="3"/>
  <c r="K37" i="3" s="1"/>
  <c r="M36" i="3"/>
  <c r="L36" i="3"/>
  <c r="B36" i="3"/>
  <c r="K36" i="3" s="1"/>
  <c r="M35" i="3"/>
  <c r="L35" i="3"/>
  <c r="B35" i="3"/>
  <c r="K35" i="3" s="1"/>
  <c r="M34" i="3"/>
  <c r="J34" i="3"/>
  <c r="I34" i="3"/>
  <c r="H34" i="3"/>
  <c r="G34" i="3"/>
  <c r="F34" i="3"/>
  <c r="E34" i="3"/>
  <c r="D34" i="3"/>
  <c r="C34" i="3"/>
  <c r="L34" i="3" s="1"/>
  <c r="B34" i="3"/>
  <c r="K34" i="3" s="1"/>
  <c r="M33" i="3"/>
  <c r="L33" i="3"/>
  <c r="K33" i="3"/>
  <c r="M32" i="3"/>
  <c r="L32" i="3"/>
  <c r="B32" i="3"/>
  <c r="K32" i="3" s="1"/>
  <c r="L31" i="3"/>
  <c r="J31" i="3"/>
  <c r="I31" i="3"/>
  <c r="H31" i="3"/>
  <c r="G31" i="3"/>
  <c r="F31" i="3"/>
  <c r="E31" i="3"/>
  <c r="D31" i="3"/>
  <c r="M31" i="3" s="1"/>
  <c r="C31" i="3"/>
  <c r="B31" i="3"/>
  <c r="K31" i="3" s="1"/>
  <c r="M30" i="3"/>
  <c r="L30" i="3"/>
  <c r="B30" i="3"/>
  <c r="K30" i="3" s="1"/>
  <c r="M29" i="3"/>
  <c r="L29" i="3"/>
  <c r="B29" i="3"/>
  <c r="K29" i="3" s="1"/>
  <c r="M28" i="3"/>
  <c r="L28" i="3"/>
  <c r="B28" i="3"/>
  <c r="K28" i="3" s="1"/>
  <c r="L27" i="3"/>
  <c r="J27" i="3"/>
  <c r="I27" i="3"/>
  <c r="I26" i="3" s="1"/>
  <c r="H27" i="3"/>
  <c r="H26" i="3" s="1"/>
  <c r="G27" i="3"/>
  <c r="F27" i="3"/>
  <c r="E27" i="3"/>
  <c r="E26" i="3" s="1"/>
  <c r="D27" i="3"/>
  <c r="D26" i="3" s="1"/>
  <c r="M26" i="3" s="1"/>
  <c r="C27" i="3"/>
  <c r="B27" i="3"/>
  <c r="K27" i="3" s="1"/>
  <c r="J26" i="3"/>
  <c r="G26" i="3"/>
  <c r="F26" i="3"/>
  <c r="C26" i="3"/>
  <c r="B26" i="3"/>
  <c r="J24" i="3"/>
  <c r="J50" i="3" s="1"/>
  <c r="M23" i="3"/>
  <c r="L23" i="3"/>
  <c r="B23" i="3"/>
  <c r="K23" i="3" s="1"/>
  <c r="P22" i="3"/>
  <c r="M22" i="3"/>
  <c r="L22" i="3"/>
  <c r="B22" i="3"/>
  <c r="K22" i="3" s="1"/>
  <c r="P21" i="3"/>
  <c r="M21" i="3"/>
  <c r="L21" i="3"/>
  <c r="K21" i="3"/>
  <c r="P20" i="3"/>
  <c r="K20" i="3"/>
  <c r="G20" i="3"/>
  <c r="F20" i="3"/>
  <c r="L20" i="3" s="1"/>
  <c r="E20" i="3"/>
  <c r="D20" i="3"/>
  <c r="D19" i="3" s="1"/>
  <c r="M19" i="3" s="1"/>
  <c r="C20" i="3"/>
  <c r="B20" i="3"/>
  <c r="L19" i="3"/>
  <c r="G19" i="3"/>
  <c r="F19" i="3"/>
  <c r="E19" i="3"/>
  <c r="E12" i="3" s="1"/>
  <c r="C19" i="3"/>
  <c r="B19" i="3"/>
  <c r="K19" i="3" s="1"/>
  <c r="M18" i="3"/>
  <c r="L18" i="3"/>
  <c r="K18" i="3"/>
  <c r="M17" i="3"/>
  <c r="L17" i="3"/>
  <c r="K17" i="3"/>
  <c r="M16" i="3"/>
  <c r="F16" i="3"/>
  <c r="E16" i="3"/>
  <c r="C16" i="3"/>
  <c r="L16" i="3" s="1"/>
  <c r="B16" i="3"/>
  <c r="K16" i="3" s="1"/>
  <c r="M15" i="3"/>
  <c r="L15" i="3"/>
  <c r="K15" i="3"/>
  <c r="M14" i="3"/>
  <c r="L14" i="3"/>
  <c r="B14" i="3"/>
  <c r="K14" i="3" s="1"/>
  <c r="M13" i="3"/>
  <c r="G13" i="3"/>
  <c r="F13" i="3"/>
  <c r="F12" i="3" s="1"/>
  <c r="E13" i="3"/>
  <c r="D13" i="3"/>
  <c r="C13" i="3"/>
  <c r="L13" i="3" s="1"/>
  <c r="B13" i="3"/>
  <c r="B12" i="3" s="1"/>
  <c r="G12" i="3"/>
  <c r="D12" i="3"/>
  <c r="M12" i="3" s="1"/>
  <c r="C12" i="3"/>
  <c r="M11" i="3"/>
  <c r="L11" i="3"/>
  <c r="K11" i="3"/>
  <c r="E11" i="3"/>
  <c r="B11" i="3"/>
  <c r="M10" i="3"/>
  <c r="L10" i="3"/>
  <c r="E10" i="3"/>
  <c r="B10" i="3"/>
  <c r="B9" i="3" s="1"/>
  <c r="K9" i="3" s="1"/>
  <c r="I9" i="3"/>
  <c r="I24" i="3" s="1"/>
  <c r="H9" i="3"/>
  <c r="H24" i="3" s="1"/>
  <c r="H50" i="3" s="1"/>
  <c r="G9" i="3"/>
  <c r="G24" i="3" s="1"/>
  <c r="G50" i="3" s="1"/>
  <c r="F9" i="3"/>
  <c r="F24" i="3" s="1"/>
  <c r="F50" i="3" s="1"/>
  <c r="E9" i="3"/>
  <c r="D9" i="3"/>
  <c r="M9" i="3" s="1"/>
  <c r="C9" i="3"/>
  <c r="C24" i="3" s="1"/>
  <c r="M8" i="3"/>
  <c r="L8" i="3"/>
  <c r="E8" i="3"/>
  <c r="E24" i="3" s="1"/>
  <c r="B8" i="3"/>
  <c r="I69" i="2"/>
  <c r="H69" i="2"/>
  <c r="G67" i="2"/>
  <c r="G66" i="2"/>
  <c r="I65" i="2"/>
  <c r="H65" i="2"/>
  <c r="D58" i="2"/>
  <c r="E58" i="2" s="1"/>
  <c r="J68" i="2" s="1"/>
  <c r="C58" i="2"/>
  <c r="H68" i="2" s="1"/>
  <c r="E56" i="2"/>
  <c r="E55" i="2"/>
  <c r="E54" i="2"/>
  <c r="D53" i="2"/>
  <c r="E53" i="2" s="1"/>
  <c r="C53" i="2"/>
  <c r="C47" i="2" s="1"/>
  <c r="E49" i="2"/>
  <c r="D49" i="2"/>
  <c r="C49" i="2"/>
  <c r="D47" i="2"/>
  <c r="E47" i="2" s="1"/>
  <c r="E46" i="2"/>
  <c r="D43" i="2"/>
  <c r="C43" i="2"/>
  <c r="C39" i="2" s="1"/>
  <c r="H67" i="2" s="1"/>
  <c r="D40" i="2"/>
  <c r="C40" i="2"/>
  <c r="D39" i="2"/>
  <c r="E39" i="2" s="1"/>
  <c r="J67" i="2" s="1"/>
  <c r="E38" i="2"/>
  <c r="E37" i="2"/>
  <c r="E36" i="2"/>
  <c r="D35" i="2"/>
  <c r="E35" i="2" s="1"/>
  <c r="C35" i="2"/>
  <c r="E34" i="2"/>
  <c r="D33" i="2"/>
  <c r="E33" i="2" s="1"/>
  <c r="C33" i="2"/>
  <c r="E31" i="2"/>
  <c r="E30" i="2"/>
  <c r="E29" i="2"/>
  <c r="E28" i="2"/>
  <c r="E26" i="2"/>
  <c r="D25" i="2"/>
  <c r="C25" i="2"/>
  <c r="C23" i="2"/>
  <c r="E23" i="2" s="1"/>
  <c r="E22" i="2"/>
  <c r="D21" i="2"/>
  <c r="D15" i="2"/>
  <c r="C15" i="2"/>
  <c r="D14" i="2"/>
  <c r="E12" i="2"/>
  <c r="D10" i="2"/>
  <c r="C10" i="2"/>
  <c r="D9" i="2"/>
  <c r="I66" i="2" s="1"/>
  <c r="M94" i="1"/>
  <c r="M93" i="1"/>
  <c r="I93" i="1"/>
  <c r="M92" i="1"/>
  <c r="N92" i="1" s="1"/>
  <c r="I92" i="1"/>
  <c r="N91" i="1"/>
  <c r="M91" i="1"/>
  <c r="I91" i="1"/>
  <c r="I88" i="1" s="1"/>
  <c r="N90" i="1"/>
  <c r="M90" i="1"/>
  <c r="I90" i="1"/>
  <c r="M89" i="1"/>
  <c r="N89" i="1" s="1"/>
  <c r="N88" i="1" s="1"/>
  <c r="I89" i="1"/>
  <c r="S88" i="1"/>
  <c r="Q88" i="1"/>
  <c r="P88" i="1"/>
  <c r="T88" i="1" s="1"/>
  <c r="U88" i="1" s="1"/>
  <c r="M87" i="1"/>
  <c r="N87" i="1" s="1"/>
  <c r="I87" i="1"/>
  <c r="H87" i="1"/>
  <c r="H86" i="1"/>
  <c r="I86" i="1" s="1"/>
  <c r="H85" i="1"/>
  <c r="M85" i="1" s="1"/>
  <c r="N85" i="1" s="1"/>
  <c r="H84" i="1"/>
  <c r="M84" i="1" s="1"/>
  <c r="N84" i="1" s="1"/>
  <c r="H83" i="1"/>
  <c r="M83" i="1" s="1"/>
  <c r="N83" i="1" s="1"/>
  <c r="H82" i="1"/>
  <c r="M82" i="1" s="1"/>
  <c r="N82" i="1" s="1"/>
  <c r="H81" i="1"/>
  <c r="M81" i="1" s="1"/>
  <c r="N81" i="1" s="1"/>
  <c r="S80" i="1"/>
  <c r="Q80" i="1"/>
  <c r="R80" i="1" s="1"/>
  <c r="P80" i="1"/>
  <c r="T80" i="1" s="1"/>
  <c r="S79" i="1"/>
  <c r="P79" i="1"/>
  <c r="O79" i="1"/>
  <c r="H78" i="1"/>
  <c r="I78" i="1" s="1"/>
  <c r="I77" i="1" s="1"/>
  <c r="S77" i="1"/>
  <c r="Q77" i="1"/>
  <c r="P77" i="1"/>
  <c r="T77" i="1" s="1"/>
  <c r="U77" i="1" s="1"/>
  <c r="H76" i="1"/>
  <c r="I76" i="1" s="1"/>
  <c r="I75" i="1" s="1"/>
  <c r="S75" i="1"/>
  <c r="Q75" i="1"/>
  <c r="P75" i="1"/>
  <c r="T75" i="1" s="1"/>
  <c r="S74" i="1"/>
  <c r="O74" i="1"/>
  <c r="H73" i="1"/>
  <c r="I73" i="1" s="1"/>
  <c r="I72" i="1" s="1"/>
  <c r="S72" i="1"/>
  <c r="Q72" i="1"/>
  <c r="P72" i="1"/>
  <c r="T72" i="1" s="1"/>
  <c r="U72" i="1" s="1"/>
  <c r="H71" i="1"/>
  <c r="I71" i="1" s="1"/>
  <c r="S70" i="1"/>
  <c r="Q70" i="1"/>
  <c r="P70" i="1"/>
  <c r="T70" i="1" s="1"/>
  <c r="S69" i="1"/>
  <c r="O69" i="1"/>
  <c r="H68" i="1"/>
  <c r="M68" i="1" s="1"/>
  <c r="N68" i="1" s="1"/>
  <c r="N67" i="1" s="1"/>
  <c r="S67" i="1"/>
  <c r="Q67" i="1"/>
  <c r="R67" i="1" s="1"/>
  <c r="P67" i="1"/>
  <c r="T67" i="1" s="1"/>
  <c r="U67" i="1" s="1"/>
  <c r="N66" i="1"/>
  <c r="M66" i="1"/>
  <c r="I66" i="1"/>
  <c r="N65" i="1"/>
  <c r="M65" i="1"/>
  <c r="I65" i="1"/>
  <c r="M64" i="1"/>
  <c r="N64" i="1" s="1"/>
  <c r="I64" i="1"/>
  <c r="H63" i="1"/>
  <c r="M63" i="1" s="1"/>
  <c r="N63" i="1" s="1"/>
  <c r="H62" i="1"/>
  <c r="M62" i="1" s="1"/>
  <c r="N62" i="1" s="1"/>
  <c r="M61" i="1"/>
  <c r="N61" i="1" s="1"/>
  <c r="H61" i="1"/>
  <c r="S60" i="1"/>
  <c r="Q60" i="1"/>
  <c r="P60" i="1"/>
  <c r="T60" i="1" s="1"/>
  <c r="U60" i="1" s="1"/>
  <c r="N59" i="1"/>
  <c r="M59" i="1"/>
  <c r="I59" i="1"/>
  <c r="N58" i="1"/>
  <c r="M58" i="1"/>
  <c r="M57" i="1"/>
  <c r="N57" i="1" s="1"/>
  <c r="N56" i="1"/>
  <c r="M56" i="1"/>
  <c r="I56" i="1"/>
  <c r="M55" i="1"/>
  <c r="N55" i="1" s="1"/>
  <c r="H55" i="1"/>
  <c r="H54" i="1"/>
  <c r="M54" i="1" s="1"/>
  <c r="N54" i="1" s="1"/>
  <c r="H53" i="1"/>
  <c r="M53" i="1" s="1"/>
  <c r="N53" i="1" s="1"/>
  <c r="N52" i="1"/>
  <c r="M52" i="1"/>
  <c r="I52" i="1"/>
  <c r="H51" i="1"/>
  <c r="M51" i="1" s="1"/>
  <c r="M50" i="1"/>
  <c r="N50" i="1" s="1"/>
  <c r="H50" i="1"/>
  <c r="S49" i="1"/>
  <c r="Q49" i="1"/>
  <c r="R49" i="1" s="1"/>
  <c r="P49" i="1"/>
  <c r="T49" i="1" s="1"/>
  <c r="S48" i="1"/>
  <c r="P48" i="1"/>
  <c r="O48" i="1"/>
  <c r="M47" i="1"/>
  <c r="N47" i="1" s="1"/>
  <c r="N40" i="1" s="1"/>
  <c r="I47" i="1"/>
  <c r="M46" i="1"/>
  <c r="I46" i="1"/>
  <c r="M45" i="1"/>
  <c r="I45" i="1"/>
  <c r="M44" i="1"/>
  <c r="I44" i="1"/>
  <c r="M43" i="1"/>
  <c r="I43" i="1"/>
  <c r="M42" i="1"/>
  <c r="I42" i="1"/>
  <c r="M41" i="1"/>
  <c r="I41" i="1"/>
  <c r="I40" i="1" s="1"/>
  <c r="S40" i="1"/>
  <c r="Q40" i="1"/>
  <c r="P40" i="1"/>
  <c r="T40" i="1" s="1"/>
  <c r="U40" i="1" s="1"/>
  <c r="N39" i="1"/>
  <c r="M39" i="1"/>
  <c r="M38" i="1"/>
  <c r="N38" i="1" s="1"/>
  <c r="I38" i="1"/>
  <c r="M37" i="1"/>
  <c r="N37" i="1" s="1"/>
  <c r="N36" i="1"/>
  <c r="M36" i="1"/>
  <c r="M35" i="1"/>
  <c r="N35" i="1" s="1"/>
  <c r="I35" i="1"/>
  <c r="I30" i="1" s="1"/>
  <c r="N34" i="1"/>
  <c r="M34" i="1"/>
  <c r="H34" i="1"/>
  <c r="N33" i="1"/>
  <c r="M33" i="1"/>
  <c r="M32" i="1"/>
  <c r="N32" i="1" s="1"/>
  <c r="H32" i="1"/>
  <c r="S31" i="1"/>
  <c r="Q31" i="1"/>
  <c r="R31" i="1" s="1"/>
  <c r="P31" i="1"/>
  <c r="T31" i="1" s="1"/>
  <c r="I31" i="1"/>
  <c r="S30" i="1"/>
  <c r="O30" i="1"/>
  <c r="M29" i="1"/>
  <c r="N29" i="1" s="1"/>
  <c r="N28" i="1"/>
  <c r="M28" i="1"/>
  <c r="M27" i="1"/>
  <c r="N27" i="1" s="1"/>
  <c r="N25" i="1" s="1"/>
  <c r="I27" i="1"/>
  <c r="I25" i="1" s="1"/>
  <c r="N26" i="1"/>
  <c r="M26" i="1"/>
  <c r="S25" i="1"/>
  <c r="S8" i="1" s="1"/>
  <c r="S94" i="1" s="1"/>
  <c r="Q25" i="1"/>
  <c r="P25" i="1"/>
  <c r="T25" i="1" s="1"/>
  <c r="U25" i="1" s="1"/>
  <c r="M24" i="1"/>
  <c r="N24" i="1" s="1"/>
  <c r="I24" i="1"/>
  <c r="M23" i="1"/>
  <c r="N23" i="1" s="1"/>
  <c r="I23" i="1"/>
  <c r="N22" i="1"/>
  <c r="M22" i="1"/>
  <c r="I22" i="1"/>
  <c r="I21" i="1"/>
  <c r="H20" i="1"/>
  <c r="I20" i="1" s="1"/>
  <c r="S19" i="1"/>
  <c r="Q19" i="1"/>
  <c r="P19" i="1"/>
  <c r="N18" i="1"/>
  <c r="M18" i="1"/>
  <c r="I18" i="1"/>
  <c r="M17" i="1"/>
  <c r="N17" i="1" s="1"/>
  <c r="I17" i="1"/>
  <c r="M16" i="1"/>
  <c r="N16" i="1" s="1"/>
  <c r="I16" i="1"/>
  <c r="N15" i="1"/>
  <c r="M15" i="1"/>
  <c r="I15" i="1"/>
  <c r="M14" i="1"/>
  <c r="N14" i="1" s="1"/>
  <c r="I14" i="1"/>
  <c r="M13" i="1"/>
  <c r="N13" i="1" s="1"/>
  <c r="H13" i="1"/>
  <c r="I13" i="1" s="1"/>
  <c r="H12" i="1"/>
  <c r="M12" i="1" s="1"/>
  <c r="N12" i="1" s="1"/>
  <c r="N11" i="1"/>
  <c r="H11" i="1"/>
  <c r="S9" i="1"/>
  <c r="Q9" i="1"/>
  <c r="P9" i="1"/>
  <c r="T9" i="1" s="1"/>
  <c r="O8" i="1"/>
  <c r="O94" i="1" s="1"/>
  <c r="Q8" i="1" l="1"/>
  <c r="R8" i="1" s="1"/>
  <c r="M21" i="1"/>
  <c r="N21" i="1" s="1"/>
  <c r="I12" i="1"/>
  <c r="P8" i="1"/>
  <c r="P30" i="1"/>
  <c r="P94" i="1" s="1"/>
  <c r="R40" i="1"/>
  <c r="R75" i="1"/>
  <c r="P74" i="1"/>
  <c r="Q30" i="1"/>
  <c r="R30" i="1" s="1"/>
  <c r="Q48" i="1"/>
  <c r="R48" i="1" s="1"/>
  <c r="Q79" i="1"/>
  <c r="R79" i="1" s="1"/>
  <c r="R60" i="1"/>
  <c r="M71" i="1"/>
  <c r="N71" i="1" s="1"/>
  <c r="N70" i="1" s="1"/>
  <c r="M76" i="1"/>
  <c r="N76" i="1" s="1"/>
  <c r="N74" i="1" s="1"/>
  <c r="I74" i="1"/>
  <c r="R19" i="1"/>
  <c r="R25" i="1"/>
  <c r="P69" i="1"/>
  <c r="R70" i="1"/>
  <c r="M73" i="1"/>
  <c r="N73" i="1" s="1"/>
  <c r="N72" i="1" s="1"/>
  <c r="R77" i="1"/>
  <c r="M78" i="1"/>
  <c r="N78" i="1" s="1"/>
  <c r="N77" i="1" s="1"/>
  <c r="I82" i="1"/>
  <c r="I85" i="1"/>
  <c r="M86" i="1"/>
  <c r="N86" i="1" s="1"/>
  <c r="N80" i="1" s="1"/>
  <c r="M20" i="1"/>
  <c r="N20" i="1" s="1"/>
  <c r="R9" i="1"/>
  <c r="Q69" i="1"/>
  <c r="R72" i="1"/>
  <c r="I84" i="1"/>
  <c r="I83" i="1"/>
  <c r="Q74" i="1"/>
  <c r="R74" i="1" s="1"/>
  <c r="I50" i="3"/>
  <c r="L26" i="3"/>
  <c r="K12" i="3"/>
  <c r="B24" i="3"/>
  <c r="C50" i="3"/>
  <c r="L24" i="3"/>
  <c r="L12" i="3"/>
  <c r="Q54" i="3"/>
  <c r="R22" i="3"/>
  <c r="E50" i="3"/>
  <c r="K26" i="3"/>
  <c r="R20" i="3" s="1"/>
  <c r="K13" i="3"/>
  <c r="M20" i="3"/>
  <c r="K8" i="3"/>
  <c r="L9" i="3"/>
  <c r="K10" i="3"/>
  <c r="D24" i="3"/>
  <c r="M27" i="3"/>
  <c r="C21" i="2"/>
  <c r="C14" i="2" s="1"/>
  <c r="C9" i="2" s="1"/>
  <c r="I68" i="2"/>
  <c r="E9" i="2"/>
  <c r="J66" i="2" s="1"/>
  <c r="I67" i="2"/>
  <c r="D8" i="2"/>
  <c r="U75" i="1"/>
  <c r="T74" i="1"/>
  <c r="U74" i="1" s="1"/>
  <c r="I19" i="1"/>
  <c r="T48" i="1"/>
  <c r="U48" i="1" s="1"/>
  <c r="U49" i="1"/>
  <c r="I70" i="1"/>
  <c r="I69" i="1"/>
  <c r="U80" i="1"/>
  <c r="T79" i="1"/>
  <c r="U79" i="1" s="1"/>
  <c r="N79" i="1"/>
  <c r="T30" i="1"/>
  <c r="U30" i="1" s="1"/>
  <c r="U31" i="1"/>
  <c r="N49" i="1"/>
  <c r="N48" i="1" s="1"/>
  <c r="N60" i="1"/>
  <c r="U70" i="1"/>
  <c r="T69" i="1"/>
  <c r="U69" i="1" s="1"/>
  <c r="N69" i="1"/>
  <c r="U9" i="1"/>
  <c r="N19" i="1"/>
  <c r="N31" i="1"/>
  <c r="N30" i="1"/>
  <c r="T19" i="1"/>
  <c r="U19" i="1" s="1"/>
  <c r="R88" i="1"/>
  <c r="I62" i="1"/>
  <c r="I63" i="1"/>
  <c r="I81" i="1"/>
  <c r="I53" i="1"/>
  <c r="I68" i="1"/>
  <c r="I67" i="1" s="1"/>
  <c r="N75" i="1" l="1"/>
  <c r="R69" i="1"/>
  <c r="Q94" i="1"/>
  <c r="R94" i="1" s="1"/>
  <c r="D50" i="3"/>
  <c r="M24" i="3"/>
  <c r="N24" i="3"/>
  <c r="P53" i="3"/>
  <c r="L50" i="3"/>
  <c r="Q21" i="3"/>
  <c r="S21" i="3" s="1"/>
  <c r="Q53" i="3"/>
  <c r="N26" i="3"/>
  <c r="R21" i="3"/>
  <c r="O26" i="3"/>
  <c r="B50" i="3"/>
  <c r="K24" i="3"/>
  <c r="D63" i="2"/>
  <c r="C8" i="2"/>
  <c r="C63" i="2" s="1"/>
  <c r="H70" i="2" s="1"/>
  <c r="H66" i="2"/>
  <c r="I60" i="1"/>
  <c r="T8" i="1"/>
  <c r="I49" i="1"/>
  <c r="I48" i="1"/>
  <c r="I79" i="1"/>
  <c r="I80" i="1"/>
  <c r="M50" i="3" l="1"/>
  <c r="O50" i="3" s="1"/>
  <c r="P54" i="3"/>
  <c r="R54" i="3" s="1"/>
  <c r="O24" i="3"/>
  <c r="Q22" i="3"/>
  <c r="S22" i="3" s="1"/>
  <c r="K50" i="3"/>
  <c r="N50" i="3" s="1"/>
  <c r="Q20" i="3"/>
  <c r="S20" i="3" s="1"/>
  <c r="R53" i="3"/>
  <c r="I70" i="2"/>
  <c r="J70" i="2" s="1"/>
  <c r="E63" i="2"/>
  <c r="E8" i="2"/>
  <c r="T94" i="1"/>
  <c r="U94" i="1" s="1"/>
  <c r="U8" i="1"/>
  <c r="H10" i="1" l="1"/>
  <c r="M10" i="1" l="1"/>
  <c r="N10" i="1" s="1"/>
  <c r="I10" i="1"/>
  <c r="I9" i="1" l="1"/>
  <c r="I8" i="1"/>
  <c r="I94" i="1" s="1"/>
  <c r="N94" i="1"/>
  <c r="N9" i="1"/>
  <c r="N8" i="1"/>
</calcChain>
</file>

<file path=xl/sharedStrings.xml><?xml version="1.0" encoding="utf-8"?>
<sst xmlns="http://schemas.openxmlformats.org/spreadsheetml/2006/main" count="476" uniqueCount="330">
  <si>
    <t>*El total de las metas fisicas y financieras sera el resultado de una sumatoria, promedios aritmetico o ponderados segun el caso y solo se aplica para las columnas relacionadas con porcentajes de avance y metas financieras.</t>
  </si>
  <si>
    <t xml:space="preserve"> ANEXO 1.   MATRIZ DE  SEGUIMIENTO A LA GESTIÓN Y AVANCE EN LAS METAS FÍSICAS Y FINANCIERAS DEL PLAN DE ACCIÓN 2016- 2016.</t>
  </si>
  <si>
    <t>PND. 2014 2018</t>
  </si>
  <si>
    <t>PGAR 2009 2019</t>
  </si>
  <si>
    <t>CORPORACIÓN AUTÓNOMA REGIONAL DE LA GUAJIRA - MATRIZ DE SEGUIMIENTO DEL PLAN DE ACCIÓN - AVANCE EN LAS METAS FÍSICAS Y FINANCIERAS DEL PLAN DE ACCIÓN  CUATRIENAL- PAC. 2016 - 2019</t>
  </si>
  <si>
    <t>Estrategia Regional</t>
  </si>
  <si>
    <t>Estrategia</t>
  </si>
  <si>
    <t>Temas</t>
  </si>
  <si>
    <t xml:space="preserve">VIGENCIA EVALUADA (AÑO): 2017                                                                            PERIODO EVALUADO (SEMESTRE): Enero - Diciembre </t>
  </si>
  <si>
    <r>
      <t xml:space="preserve">(1)
PROGRAMAS - PROYECTOS  DEL PLAN 2016-2019
(inserte filas cuando sea necesario)
</t>
    </r>
    <r>
      <rPr>
        <b/>
        <sz val="10"/>
        <color indexed="10"/>
        <rFont val="Arial Narrow"/>
        <family val="2"/>
      </rPr>
      <t/>
    </r>
  </si>
  <si>
    <t>COMPORTAMIENTO META FISICA 
PLAN DE ACCION CUATRIENAL</t>
  </si>
  <si>
    <t>META FINANCIERA                                                                                                  PLAN DE ACCION CUATRIENAL</t>
  </si>
  <si>
    <t>(17)
OBSERVACIONES</t>
  </si>
  <si>
    <t xml:space="preserve">   (2)                                      Unidad de Medida </t>
  </si>
  <si>
    <t>(3)                                      META FISICA ANUAL. 2017         (Según unidad de medida)</t>
  </si>
  <si>
    <t>(4)
AVANCE DE LA META
FISICA  (Según unidad de medida y Periodo Evaluado)</t>
  </si>
  <si>
    <t xml:space="preserve">(5)
PORCENTAJE DE AVANCE 
FISICO %
(Periodo Evaluado)
((4/3)*100)
</t>
  </si>
  <si>
    <t>(5-A) DESCRIPCIÓN DEL AVANCE 
(Se puede describir en texto lo que se desea aclarar del avance númerico respectivo)</t>
  </si>
  <si>
    <t>(6)
PORCENTAJE DE AVANCE PROCESO DE GESTION DE LA META
FISICA
(aplica unicamente para el informe del primer semestre)</t>
  </si>
  <si>
    <t xml:space="preserve"> (7)                                                    META FISICA PERIODO DEL PLAN            (Según unidad de medida)</t>
  </si>
  <si>
    <t>(8)
ACUMULADO DE LA META
FISICA
(Según unidad de medida)</t>
  </si>
  <si>
    <t xml:space="preserve">(9)
PORCENTAJE DE AVANCE 
FISICO ACUMULADO %
((8/7)*100)
</t>
  </si>
  <si>
    <t>(10)               PONDERACIONES DE PROGRAMAS  Y PROYECTOS (OPCIONAL DE ACUERDO AL PLAN)</t>
  </si>
  <si>
    <t>(11)                          META FINANCIERA ANUAL                              ($)                          2017</t>
  </si>
  <si>
    <t xml:space="preserve">(12)
AVANCE DE LA META
FINANCIERA
(Recursos comprometidos periodo Evaluado)
($)
</t>
  </si>
  <si>
    <t>(13)                           PORCENTAJE DEL AVANCE 
FINANCIERO %
(Periodo Evaluado)
((12/11)*100)</t>
  </si>
  <si>
    <t>(14)                                         META FINANCIERA   PERIODO DEL PLAN            
($)</t>
  </si>
  <si>
    <t xml:space="preserve">(15)
ACUMULADO DE LA META
FINANCIERA
$
</t>
  </si>
  <si>
    <t xml:space="preserve">(16)
PORCENTAJE DE  AVANCE FINANCIERO ACUMULADO %
((15/14)*100)
</t>
  </si>
  <si>
    <t>Caribe próspero, equitativo y sin pobreza extrema</t>
  </si>
  <si>
    <t>Consolidar un marco de política de cambio climático buscando su integración con la planificación ambiental, territorial y sectorial.  Mitigar el riesgo ante sequías e inundaciones (exacerbados por la variabilidad climática) en las zonas más vulnerables de la región mediante el ordenamiento territorial para la adaptación al cambio climático</t>
  </si>
  <si>
    <t>Planificación, Ordenamiento y Coordinación Ambiental.</t>
  </si>
  <si>
    <t>Planificación Ambiental para la Orientación de la Sociedad hacia la Eficiente Ocupación del Territorio</t>
  </si>
  <si>
    <t>Programa No 1. Planificacion, Ordenamiento Ambiental y Territorial</t>
  </si>
  <si>
    <t>Proyecto No 1.1.Planificación, Ordenamiento e Información Ambiental Territorial (1)</t>
  </si>
  <si>
    <t>Porcentaje de avance en la formulación y/o ajuste de los Planes de Ordenación y Manejo de Cuencas (POMCAS) y Planes de Manejo de Microcuencas (PMM)</t>
  </si>
  <si>
    <t>%</t>
  </si>
  <si>
    <t>Ok</t>
  </si>
  <si>
    <t>Porcentaje de páramos delimitados por el MADS, con zonificación y régimen de usos adoptados por la CAR</t>
  </si>
  <si>
    <t>NA</t>
  </si>
  <si>
    <t>Ajustado mediante Acuerdo # 031 30 Nov 2017</t>
  </si>
  <si>
    <t>Porcentaje de Municipios asesorados o asistidos en la inclusión del componente ambiental en los procesos de panificación y ordenamiento territorial, con énfasis en la incorporación de las determinantes ambientales para la revisión y ajuste de los POT</t>
  </si>
  <si>
    <t>Porcentaje de Actualización y reporte de la información en el SIAC</t>
  </si>
  <si>
    <t>Porcentaje de Planes de Ordenación y Manejo de Cuencas (POMCAS), Planes de Manejo de Acuíferos (PMA) y Planes de Manejo de Microcuencas (PMM) en ejecución con seguimiento.</t>
  </si>
  <si>
    <t>Porcentaje de planes de Manejo Ambiental con seguimiento</t>
  </si>
  <si>
    <t>Porcentaje de municipios con seguimiento al cumplimiento de los asuntos ambientales concertados en los POT adoptados</t>
  </si>
  <si>
    <t>Porcentaje de mapas temáticos elaborados</t>
  </si>
  <si>
    <t>Porcentaje de delimitación y zonificación de humedales.</t>
  </si>
  <si>
    <t>Proyecto No 1.2. Gestión del Riesgo y adaptación al Cambio Climático (2)</t>
  </si>
  <si>
    <t>Porcentaje de entes territoriales asesorados en la incorporación, planificación y ejecución de acciones relacionadas con cambio climático en el marco de los instrumentos de planificación territorial</t>
  </si>
  <si>
    <t>Porcentaje de Redes y estaciones de monitoreo en operación</t>
  </si>
  <si>
    <t>Porcentaje de ejecución de acciones en mitigación de GEI y/o adaptación al cambio climático.</t>
  </si>
  <si>
    <t>Ejecución de acciones para el fortalecimiento del Nodo Regional de Cambio Climático Caribe e Insular</t>
  </si>
  <si>
    <t># de Acciones</t>
  </si>
  <si>
    <t>Porcentaje de ejecución de acciones en conocimiento y reducción del riesgo y manejo de desastres naturales</t>
  </si>
  <si>
    <t>Fortalecimiento institucional y gobernanza, para optimizar el desempeño del SINA, la educación e investigación y la generación de información y conocimiento ambiental.</t>
  </si>
  <si>
    <t>Producción y democratización del conocimiento como apoyo a la gestión ambiental territorial</t>
  </si>
  <si>
    <t>Proyecto No 1.3. Gestión del conocimiento y Cooperación Internacional (3)</t>
  </si>
  <si>
    <t>Numero de actualización del software de Banco de Programas y Proyectos</t>
  </si>
  <si>
    <t>#</t>
  </si>
  <si>
    <t>Porcentaje de proyectos con seguimiento y evaluación.</t>
  </si>
  <si>
    <t>Número de proyectos formulados y gestionados</t>
  </si>
  <si>
    <t>Funcionarios públicos, representantes de comunidades, organizaciones y minorías étnicas capacitadas.</t>
  </si>
  <si>
    <t xml:space="preserve"> Gestión integral de los recursos naturales y el ambiente  para el desarrollo sostenible de La Guajira  </t>
  </si>
  <si>
    <t>Programa No 2. Gestión Integral del Recurso Hídrico</t>
  </si>
  <si>
    <t>Proyecto 2.1. Administración de la oferta y demanda del recurso hídrico. (Superficiales y subterráneas) (4).</t>
  </si>
  <si>
    <t>Porcentaje de cuerpos de agua con planes de ordenamiento del recurso hídrico (PORH) adoptados</t>
  </si>
  <si>
    <t xml:space="preserve">Porcentaje de avance en la formulación y/o ajuste de Planes de Manejo de Acuíferos (PMA) </t>
  </si>
  <si>
    <t>Porcentaje de Cuerpos de agua con reglamentación del uso de las aguas</t>
  </si>
  <si>
    <t>Porcentaje de Planes de Manejo de Acuíferos (PMA) en ejecucion</t>
  </si>
  <si>
    <t>Número de población de comunidades indígenas y negras beneficiadas con obras de infraestructura para captación y/o almacenamiento de agua.</t>
  </si>
  <si>
    <t>Cuerpos de agua con revisión de reglamentación del uso de las aguas.</t>
  </si>
  <si>
    <t>Líneas de cauce con obras de control de inundaciones, erosión, caudales, escorrentía, rectificación y manejo de cauces, regulación de cauces y demás obras para mitigar los  riesgos asociados a la oferta y disponibilidad de agua.</t>
  </si>
  <si>
    <t>Kms</t>
  </si>
  <si>
    <t>Proyectos adjudicados y otro para revisión</t>
  </si>
  <si>
    <t>Número de estudio Regional del agua desarrollado.</t>
  </si>
  <si>
    <t>Proyecto 2.2.  Monitoreo de la calidad del recurso hídrico (5).</t>
  </si>
  <si>
    <t>Número de fuentes puntuales de vertimiento de aguas residuales (domésticas y de los sectores productivos) con cobro de la tasa retributiva.</t>
  </si>
  <si>
    <t>Número de fuentes abastecedoras de acueductos de centros poblados con monitoreo de calidad del agua para generar indice de calidad.</t>
  </si>
  <si>
    <t xml:space="preserve">Número de corrientes o tramos de las mismas con objetivos de calidad monitoreados </t>
  </si>
  <si>
    <t>Número de estaciones de muestreo de calidad de aguas marinas y costeras con monitoreo de la calidad del agua</t>
  </si>
  <si>
    <t>Número de vertimientos puntuales al recurso hídrico con monitoreo en términos de DBO y SST</t>
  </si>
  <si>
    <t>Número de pozos de agua subterránea de la red regional con monitoreo de calidad</t>
  </si>
  <si>
    <t>Número de parámetros acreditados en el laboratorio Ambiental ante el IDEAM</t>
  </si>
  <si>
    <t>Conservar el flujo de servicios ecosistémicos a través de la protección de los ecosistemas de la región para beneficio de la población</t>
  </si>
  <si>
    <t>Recuperar y Mantener los Ecosistemas Estrategicos</t>
  </si>
  <si>
    <t>Programa No 3. Bosques, Biodiversidad y Servicios Ecosistemicos.</t>
  </si>
  <si>
    <t>Proyecto No 3.1. Ecosistemas estratégicos continentales y marinos (6).</t>
  </si>
  <si>
    <t>Porcentaje de la Superficie de áreas protegidas regionales declaradas, homologadas o recategorizadas e inscritas en el RUNAP</t>
  </si>
  <si>
    <t>Ajustado mediante Acuerdo # 035 26 Dic 2017</t>
  </si>
  <si>
    <t>Porcentaje de Planes de Ordenación y Manejo de Cuencas (POMCAS), Planes de Manejo de Acuiferos (PMA) y Planes de Manejo de Microcuencas (PMM) en ejecución</t>
  </si>
  <si>
    <t>Porcentaje de suelos degradados en recuperación o rehabilitación</t>
  </si>
  <si>
    <t>Porcentaje de Áreas protegidas con planes de manejo en ejecución</t>
  </si>
  <si>
    <t>Porcentaje de Áreas de ecosistemas en restauración, rehabilitación y reforestación de Ecosistemas.</t>
  </si>
  <si>
    <t>Implementación de acciones en manejo integrado de zonas costeras</t>
  </si>
  <si>
    <t xml:space="preserve">Diseño e implementación de estrategia de conservación de los suelos. </t>
  </si>
  <si>
    <t>Planes de ordenamiento integrado de unidades ambientales costeras (POMIUAC) ajustados.</t>
  </si>
  <si>
    <t>Kilómetros lineales de costa intervenidos con medidas de mitigación contra la erosión costera</t>
  </si>
  <si>
    <t>Número de proyectos para mitigar efectos de la erosión costera formulados.</t>
  </si>
  <si>
    <t>Protección Ambiental y Planificación del Desarrollo Sostenible</t>
  </si>
  <si>
    <t xml:space="preserve">Gestión integral de los recursos naturales y el ambiente  para el desarrollo sostenible de La Guajira  </t>
  </si>
  <si>
    <t>Proyecto No 3.2. Protección y conservación de la biodiversidad (7).</t>
  </si>
  <si>
    <t>Porcentaje de avance en la formulación del Plan General de Ordenación Forestal.</t>
  </si>
  <si>
    <t>Porcentaje de Especies amenazadas con medidas de conservación y manejo en ejecución.</t>
  </si>
  <si>
    <t>Porcentaje de Especies invasoras con medidas de prevención, control y manejo en ejecución.</t>
  </si>
  <si>
    <t>Porcentaje de avance de ejecución del Plan General de Ordenación Forestal adoptado.</t>
  </si>
  <si>
    <t>Número de investigaciones realizadas de especies promisorias (flora y fauna silvestre).</t>
  </si>
  <si>
    <t>Número de programas de uso y manejo sostenible de especies promisorias Implementados.</t>
  </si>
  <si>
    <t>Proyecto No 3.3. Negocios verdes y sostenibles (8).</t>
  </si>
  <si>
    <t>Implementación del Programa Regional de Negocios Verdes por la autoridad ambiental</t>
  </si>
  <si>
    <t>Programa No 4. Gestion Ambiental Sectorial y Urbana.</t>
  </si>
  <si>
    <t>Proyecto No 4.1. Gestión Ambiental Urbana (9).</t>
  </si>
  <si>
    <t>Ejecución de acciones en Gestión Ambiental Urbana</t>
  </si>
  <si>
    <t>Proyecto No 4.2. Gestión Ambiental Sectorial (10)</t>
  </si>
  <si>
    <t>Porcentaje de sectores con acompañamiento para la reconversión hacia sistemas sostenibles de producción</t>
  </si>
  <si>
    <t>Participación para el desarrollo y divulgación de una cultura ambiental más amigable con nuestro entorno</t>
  </si>
  <si>
    <t>Programa No. 5. Educacion Ambiental</t>
  </si>
  <si>
    <t>Proyecto No 5.1. Cultura Ambiental (11)</t>
  </si>
  <si>
    <t>Ejecución de Acciones en Educación Ambiental</t>
  </si>
  <si>
    <t>Proyecto No. 5.2. Participación Comunitaria (12).</t>
  </si>
  <si>
    <t>Programa No 6. Calidad Ambiental</t>
  </si>
  <si>
    <t>Administración, Control y Vigilancia del ambiente, sus recursos naturales renovables y ecosistemas estratégicos.</t>
  </si>
  <si>
    <t>Proyecto No. 6.1.  (13). Evaluación, Seguimiento, Monitoreo y Control de la calidad de los recursos naturales y la biodiversidad.</t>
  </si>
  <si>
    <t>Porcentaje de Planes de Saneamiento y Manejo de Vertimientos (PSMV) con seguimiento</t>
  </si>
  <si>
    <t>Porcentaje de Programas de Uso Eficiente y Ahorro del Agua (PUEAA) con seguimiento</t>
  </si>
  <si>
    <t>Porcentaje de Planes de Gestión Integral de Residuos Sólidos (PGIRS) con seguimiento a metas de aprovechamiento</t>
  </si>
  <si>
    <t>Porcentaje de Autorizaciones ambientales con seguimiento</t>
  </si>
  <si>
    <t>Tiempo Promedio de trámites para la resolución de autorizaciones ambientales otorgadas por la corporación</t>
  </si>
  <si>
    <t># de Dias</t>
  </si>
  <si>
    <t>Meta fisica modificada por Acuerdo # 012 27 04 2017</t>
  </si>
  <si>
    <t>Porcentaje de procesos sancionatorios resueltos</t>
  </si>
  <si>
    <t>Número de operativos de control al tráfico ilegal de flora y fauna realizados.</t>
  </si>
  <si>
    <t>Proyecto No 6.2. Calidad del Aire (14).</t>
  </si>
  <si>
    <t>Numero de campañas que fortalecen el SVCA, mediante el control de emisiones de fuentes móviles realizados</t>
  </si>
  <si>
    <t xml:space="preserve">Porcentaje de vehículos revisados por la autoridad ambiental </t>
  </si>
  <si>
    <t>Registro de la calidad del aire en centros poblados mayores de 100000 habitantes, y corredores industriales determinado en redes de monitoreo con equipos PM10</t>
  </si>
  <si>
    <t>µg/m3</t>
  </si>
  <si>
    <t xml:space="preserve">Registro de la calidad del aire en centros poblados mayores de 100000 habitantes, y corredores industriales determinado en redes de monitoreo con equipos PST </t>
  </si>
  <si>
    <t>Número de estaciones  reportadas al  SISAIRE</t>
  </si>
  <si>
    <t>(18) TOTAL METAS FISICAS Y FINANCIERAS*</t>
  </si>
  <si>
    <t>ANEXO 5-1</t>
  </si>
  <si>
    <t xml:space="preserve">Informe de Ejecución Presupuestal de Ingresos </t>
  </si>
  <si>
    <t>Corporación Autónoma Regional de La Guajira</t>
  </si>
  <si>
    <t xml:space="preserve">Resursos Vigencia 31 de Diciembre 2017.  </t>
  </si>
  <si>
    <t>Identificacion Presupuestal</t>
  </si>
  <si>
    <t>Nivel Rentístico</t>
  </si>
  <si>
    <t>Apropiado</t>
  </si>
  <si>
    <t>Recaudado</t>
  </si>
  <si>
    <t>1800-0103</t>
  </si>
  <si>
    <t>INGRESOS PROPIOS</t>
  </si>
  <si>
    <t>1800-010301</t>
  </si>
  <si>
    <t>INGRESOS CORRIENTES</t>
  </si>
  <si>
    <t>1800-01030101</t>
  </si>
  <si>
    <t>Tributarios</t>
  </si>
  <si>
    <t>Participación Ambiental Municipios</t>
  </si>
  <si>
    <t>1800-010301010101-07</t>
  </si>
  <si>
    <t>Sobretasa o Porcentaje Ambiental</t>
  </si>
  <si>
    <t>Otros</t>
  </si>
  <si>
    <t>1800-01030102</t>
  </si>
  <si>
    <t>No Tributarios</t>
  </si>
  <si>
    <t>Venta de Bienes y Servicios</t>
  </si>
  <si>
    <t xml:space="preserve">Otros por Venta de Bienes y Servicios </t>
  </si>
  <si>
    <t>Operaciones Comerciales</t>
  </si>
  <si>
    <t>Aportes Patronales</t>
  </si>
  <si>
    <t>Aportes de Afiliados</t>
  </si>
  <si>
    <t>Aportes de otras entidades</t>
  </si>
  <si>
    <t>1800-010301020102-02</t>
  </si>
  <si>
    <t>Transferencias Sector Electrico</t>
  </si>
  <si>
    <t>1800-0103010206010445-04</t>
  </si>
  <si>
    <t>Convenios con Otras Entidades</t>
  </si>
  <si>
    <t>Otros Aportes de Otras Entidades</t>
  </si>
  <si>
    <t>1800-0103010201</t>
  </si>
  <si>
    <t>TASAS</t>
  </si>
  <si>
    <t>1800-010301020101-05</t>
  </si>
  <si>
    <t>Tasa Retributiva y Compensatoria</t>
  </si>
  <si>
    <t>Tasa Material de Arrastre</t>
  </si>
  <si>
    <t>1800-010301020102-11</t>
  </si>
  <si>
    <t>Tasa por Uso del Agua</t>
  </si>
  <si>
    <t>1800-010301020103-12</t>
  </si>
  <si>
    <t>Movilización Material Vegetal</t>
  </si>
  <si>
    <t>1800-010301020104-12</t>
  </si>
  <si>
    <t>Licencias, permisos y tramites ambientales (evaluación)</t>
  </si>
  <si>
    <t>1800-010301020105-12</t>
  </si>
  <si>
    <t xml:space="preserve">Tasa Aprovechamiento Forestal </t>
  </si>
  <si>
    <t>Movilización Ilegal de Madera</t>
  </si>
  <si>
    <t>1800-010301020202</t>
  </si>
  <si>
    <t xml:space="preserve">Multas </t>
  </si>
  <si>
    <t>1800-010301020201-12</t>
  </si>
  <si>
    <t>Multas y sanciones por infracciones ambientales</t>
  </si>
  <si>
    <t>1800-0103010208</t>
  </si>
  <si>
    <t>Otros Ingresos</t>
  </si>
  <si>
    <t>1800-010301020805-02</t>
  </si>
  <si>
    <t>Seguimiento a licencias, permisos y trámites</t>
  </si>
  <si>
    <t>1800-010301020810-30</t>
  </si>
  <si>
    <t xml:space="preserve">Recuperacion Incapacidad y Licencia de Maternidad </t>
  </si>
  <si>
    <t>1800-01030102080-12</t>
  </si>
  <si>
    <t>1800-010302</t>
  </si>
  <si>
    <t>RECURSOS DE CAPITAL</t>
  </si>
  <si>
    <t>Crédito externo</t>
  </si>
  <si>
    <t>Perfeccionado</t>
  </si>
  <si>
    <t>Autorizado</t>
  </si>
  <si>
    <t>Crédito Interno</t>
  </si>
  <si>
    <t>1800-01030203</t>
  </si>
  <si>
    <t>Rendimientos Financieros</t>
  </si>
  <si>
    <t>1800-01030205</t>
  </si>
  <si>
    <t>Recursos del Balance</t>
  </si>
  <si>
    <t>Venta de Activos</t>
  </si>
  <si>
    <t>Excedentes Financieros</t>
  </si>
  <si>
    <t>Cancelación de Reservas</t>
  </si>
  <si>
    <t>Recuperación de Cartera</t>
  </si>
  <si>
    <t>Otros Recursos del Balance</t>
  </si>
  <si>
    <t xml:space="preserve">Recurperacion de Cartera </t>
  </si>
  <si>
    <t>1800-010302050401-05</t>
  </si>
  <si>
    <t>Recuperacion de Cartera Tasa Retributivas y Compensaciones</t>
  </si>
  <si>
    <t>1800-010302050402-12</t>
  </si>
  <si>
    <t>Recuperacion de Cartera Mutas</t>
  </si>
  <si>
    <t>1800-010302050407-11</t>
  </si>
  <si>
    <t>Recuperacion de Cartera por Utilizacion del Recurso Hidrico</t>
  </si>
  <si>
    <t>Donaciones</t>
  </si>
  <si>
    <t>1800-0104</t>
  </si>
  <si>
    <t>Aportes de La Nacion</t>
  </si>
  <si>
    <t>1800-01040000 10</t>
  </si>
  <si>
    <t>Funcionamiento</t>
  </si>
  <si>
    <t>FCA Funcionamiento</t>
  </si>
  <si>
    <t>Inversión. FCA</t>
  </si>
  <si>
    <t>Inversion FONAM</t>
  </si>
  <si>
    <t>Total Ingresos Vigencia</t>
  </si>
  <si>
    <t>APORTES DE LA NACION</t>
  </si>
  <si>
    <t>SISTEMA GENERAL DE REGALIA</t>
  </si>
  <si>
    <t xml:space="preserve">TOTAL PRESUPUESTO </t>
  </si>
  <si>
    <t>ANEXO 5-2</t>
  </si>
  <si>
    <t xml:space="preserve">INFORME DE EJECUCION PRESUPUESTAL DE GASTOS </t>
  </si>
  <si>
    <t>CORPORACION AUTONOMA REGIONAL DE LA GUAJIRA</t>
  </si>
  <si>
    <t xml:space="preserve">RECURSOS VIGENCIA 2017. </t>
  </si>
  <si>
    <t>31 de Diciembre de 2107</t>
  </si>
  <si>
    <t>CONCEPTO</t>
  </si>
  <si>
    <t>RECURSOS PROPIOS
$</t>
  </si>
  <si>
    <t>RECURSOS DE LA NACION, FONAM, FCA
$</t>
  </si>
  <si>
    <t>Sistema General de Regalias, SGR</t>
  </si>
  <si>
    <t>TOTAL RECURSOS 
(PROPIOS -NACION-SGR)
$</t>
  </si>
  <si>
    <t>PRESUPUESTADO</t>
  </si>
  <si>
    <t>COMPROMETIDO</t>
  </si>
  <si>
    <t>PAGOS</t>
  </si>
  <si>
    <t>GASTOS DE PERSONAL</t>
  </si>
  <si>
    <t>GASTOS GENERALES</t>
  </si>
  <si>
    <t>Adquisición de Bienes y servicios</t>
  </si>
  <si>
    <t>Impuestos y Multas</t>
  </si>
  <si>
    <t>TRANSFERENCIAS CORRIENTES</t>
  </si>
  <si>
    <t>ADMINISTRACION PUBLICA CENTRAL</t>
  </si>
  <si>
    <t>Fondo de Compensación Ambiental</t>
  </si>
  <si>
    <t>Indemnizaciones</t>
  </si>
  <si>
    <t xml:space="preserve">TRANSFERENCIAS PREVISION Y SEGURIDAD SOCIAL </t>
  </si>
  <si>
    <t>Mesadas Pensionales</t>
  </si>
  <si>
    <t>Bonos pensionales</t>
  </si>
  <si>
    <t>OTRAS TRANSFERENCIAS</t>
  </si>
  <si>
    <t xml:space="preserve">Inversion </t>
  </si>
  <si>
    <t>Total</t>
  </si>
  <si>
    <t>SENTENCIAS Y CONCILIACIONES</t>
  </si>
  <si>
    <t>Sentencias y Conciliaciones</t>
  </si>
  <si>
    <t>Cuota de Auditaje Contaloria Nacional</t>
  </si>
  <si>
    <t>OTRAS (ASOCARS)</t>
  </si>
  <si>
    <t>Presu-Comp</t>
  </si>
  <si>
    <t>Comp-Pago</t>
  </si>
  <si>
    <t>TOTAL GASTOS DE FUNCIONAMIENTO</t>
  </si>
  <si>
    <t>TOTAL INVERSION</t>
  </si>
  <si>
    <t>Programa 1. Ordenamiento Ambiental Territorial</t>
  </si>
  <si>
    <t>Proyecto 1.1. Planificación, Ordenamiento e Información Ambiental Territorial</t>
  </si>
  <si>
    <t>Proyecto 1.2. Gestión del Riesgo y adaptación al Cambio Climático.</t>
  </si>
  <si>
    <t>Proyecto 1.3. Gestión del conocimiento y Cooperación Internacional.</t>
  </si>
  <si>
    <t>Programa 2. Gestión Integral del Recurso Hídrico</t>
  </si>
  <si>
    <t>Proyecto 2.1.Administración de la oferta y demanda del recurso hídrico. (Superficiales y subterráneas).</t>
  </si>
  <si>
    <t>Proyecto 2.2. .  Monitoreo de la calidad del recurso hídrico.</t>
  </si>
  <si>
    <t>Programa 3. Bosques, Biodiversidad y Servicios Ecosistémicos.</t>
  </si>
  <si>
    <t>Proyecto 3.1. Ecosistemas estratégicos continentales y marinos Costeros</t>
  </si>
  <si>
    <t>Proyecto 3.2. Protección y conservación de la biodiversidad.</t>
  </si>
  <si>
    <t>Proyecto 3.3.Negocios verdes y sostenibles.</t>
  </si>
  <si>
    <t>Progrma 4. Gestión Ambiental Sectorial y Urbana</t>
  </si>
  <si>
    <t>Proyecto 4.1. Gestión Ambiental Urbana</t>
  </si>
  <si>
    <t>Proyecto 4.2. Gestión Ambiental Sectorial</t>
  </si>
  <si>
    <t>Programa 5. Educación Ambiental</t>
  </si>
  <si>
    <t>Proyecto 5.1. Cultura Ambiental</t>
  </si>
  <si>
    <t>Proyecto 5.2.Participación Comunitaria</t>
  </si>
  <si>
    <t>Programa 6. Calidad Ambiental</t>
  </si>
  <si>
    <t>Proyecto 6.1. Monitoreo, evaluación y Seguimiento de la calidad de los recursos naturales y la biodiversidad.</t>
  </si>
  <si>
    <t>Proyecto 4.3. Calidad del aire</t>
  </si>
  <si>
    <t xml:space="preserve">FCA </t>
  </si>
  <si>
    <t>FONAM</t>
  </si>
  <si>
    <t xml:space="preserve">TOTAL PRESUPUESTO  </t>
  </si>
  <si>
    <t>ANEXO No. 2.PROTOCOLO O GUÍA DE DILIGENCIAMIENTO</t>
  </si>
  <si>
    <t xml:space="preserve">MATRIZ DE SEGUIMIENTO A LA GESTIÓN Y DE AVANCE EN LAS METAS FÍSICAS Y FINANCIERAS DEL PLAN DE ACCIÓN </t>
  </si>
  <si>
    <t xml:space="preserve">ITEM </t>
  </si>
  <si>
    <t>DEFINICIONES</t>
  </si>
  <si>
    <t xml:space="preserve">(1) PROGRAMAS - PROYECTOS  DEL Plan de Acción 2007-2009 </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</si>
  <si>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</si>
  <si>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</si>
  <si>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</si>
  <si>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</si>
  <si>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</si>
  <si>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</si>
  <si>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</si>
  <si>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</si>
  <si>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</si>
  <si>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 xml:space="preserve">(5-A) DESCRIPCIÓN DEL AVANCE 
</t>
  </si>
  <si>
    <t>En esta columna se puede describir en texto lo que se desea justificar, describir y aclarar del avance del programa, proyecto, actividad.</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</si>
  <si>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</si>
  <si>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</si>
  <si>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</si>
  <si>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</si>
  <si>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</si>
  <si>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Reporte el avance acumulado de la meta física que se obtenga desde la aprobación del Plan de Acción, incluyendo el periodo evaluado.  Ejemplo 100 Ha reforestadas (2004) más 140 Ha reforestadas (2005), acumulado 240 Ha (2004+2005)</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</si>
  <si>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</si>
  <si>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</si>
  <si>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</si>
  <si>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</si>
  <si>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(11)META FINANCIERA ANUAL</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</si>
  <si>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</si>
  <si>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</si>
  <si>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</si>
  <si>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</si>
  <si>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</si>
  <si>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(14) META FINANCIERA DEL PLAN</t>
  </si>
  <si>
    <t>Relacione aquí de acuerdo al plan de inversión del Plan de Acción  los montos de inversión previstos para cada programa o proyecto para los tres años. (incluye adiciones o modificaciones).</t>
  </si>
  <si>
    <t xml:space="preserve">(15)  AVANCE ACUMULADO DE LA META FINANCIERA </t>
  </si>
  <si>
    <t>Reporte el avance acumulado en la vigencia del Plan de Acción, desde su aprobación hasta el periodo del informe.  Ejemplo $100'000.000.oo (2004) + $150'000.000.oo (2005), da un acumulado de inversión del Plan de Acción de $250'000.000.oo</t>
  </si>
  <si>
    <t>(16) PORCENTAJE DE AVANCE FINANCIERO ACUMULADO %</t>
  </si>
  <si>
    <t>Calcule el porcentaje del avance acumulado de la Meta financiera programada en el Plan de Acción. Divida el valor de la columna  (15) con el valor de la columna (14) y multiplique por 100.</t>
  </si>
  <si>
    <t>(17) OBSERVACIONES</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</si>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</sst>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0.0000"/>
    <numFmt numFmtId="165" formatCode="#,##0.00_ ;\-#,##0.00\ "/>
    <numFmt numFmtId="166" formatCode="#,##0.00000000"/>
    <numFmt numFmtId="167" formatCode="#,##0.000"/>
    <numFmt numFmtId="168" formatCode="0.0000"/>
    <numFmt numFmtId="169" formatCode="0;[Red]0"/>
    <numFmt numFmtId="170" formatCode="#,##0.000000000"/>
    <numFmt numFmtId="171" formatCode="#,##0.0"/>
    <numFmt numFmtId="172" formatCode="_ * #,##0.00_ ;_ * \-#,##0.00_ ;_ * &quot;-&quot;??_ ;_ @_ "/>
    <numFmt numFmtId="173" formatCode="0.0%"/>
    <numFmt numFmtId="174" formatCode="_ * #,##0_ ;_ * \-#,##0_ ;_ * &quot;-&quot;??_ ;_ @_ "/>
    <numFmt numFmtId="175" formatCode="_-* #,##0_-;\-* #,##0_-;_-* &quot;-&quot;??_-;_-@_-"/>
  </numFmts>
  <fonts count="54">
    <font>
      <sz val="11"/>
      <color theme="1"/>
      <name val="Calibri"/>
      <family val="2"/>
      <scheme val="minor"/>
    </font>
    <font>
      <sz val="11"/>
      <color theme="1"/>
      <name val="Calibri"/>
      <family val="2"/>
      <scheme val="minor"/>
    </font>
    <font>
      <sz val="10"/>
      <name val="Arial"/>
      <family val="2"/>
    </font>
    <font>
      <sz val="10"/>
      <name val="Arial Narrow"/>
      <family val="2"/>
    </font>
    <font>
      <b/>
      <sz val="14"/>
      <name val="Arial Narrow"/>
      <family val="2"/>
    </font>
    <font>
      <b/>
      <sz val="9"/>
      <name val="Arial"/>
      <family val="2"/>
    </font>
    <font>
      <b/>
      <sz val="12"/>
      <name val="Arial Narrow"/>
      <family val="2"/>
    </font>
    <font>
      <b/>
      <sz val="10"/>
      <name val="Arial Narrow"/>
      <family val="2"/>
    </font>
    <font>
      <b/>
      <sz val="10"/>
      <color indexed="10"/>
      <name val="Arial Narrow"/>
      <family val="2"/>
    </font>
    <font>
      <b/>
      <sz val="11"/>
      <name val="Arial Narrow"/>
      <family val="2"/>
    </font>
    <font>
      <b/>
      <sz val="8"/>
      <name val="Arial Narrow"/>
      <family val="2"/>
    </font>
    <font>
      <b/>
      <sz val="8"/>
      <name val="Calibri"/>
      <family val="2"/>
      <scheme val="minor"/>
    </font>
    <font>
      <b/>
      <sz val="12"/>
      <name val="Calibri"/>
      <family val="2"/>
      <scheme val="minor"/>
    </font>
    <font>
      <b/>
      <sz val="10"/>
      <name val="Calibri"/>
      <family val="2"/>
      <scheme val="minor"/>
    </font>
    <font>
      <b/>
      <sz val="12"/>
      <color theme="1"/>
      <name val="Calibri"/>
      <family val="2"/>
      <scheme val="minor"/>
    </font>
    <font>
      <sz val="8"/>
      <name val="Arial Narrow"/>
      <family val="2"/>
    </font>
    <font>
      <sz val="9"/>
      <name val="Arial"/>
      <family val="2"/>
    </font>
    <font>
      <sz val="9"/>
      <name val="Calibri"/>
      <family val="2"/>
      <scheme val="minor"/>
    </font>
    <font>
      <sz val="8"/>
      <color rgb="FFFF0000"/>
      <name val="Arial Narrow"/>
      <family val="2"/>
    </font>
    <font>
      <b/>
      <sz val="8"/>
      <color rgb="FFFF0000"/>
      <name val="Arial Narrow"/>
      <family val="2"/>
    </font>
    <font>
      <sz val="7"/>
      <color rgb="FFFF0000"/>
      <name val="Calibri"/>
      <family val="2"/>
      <scheme val="minor"/>
    </font>
    <font>
      <sz val="7"/>
      <name val="Arial Narrow"/>
      <family val="2"/>
    </font>
    <font>
      <strike/>
      <sz val="8"/>
      <name val="Arial Narrow"/>
      <family val="2"/>
    </font>
    <font>
      <sz val="8"/>
      <color theme="3" tint="0.39997558519241921"/>
      <name val="Arial Narrow"/>
      <family val="2"/>
    </font>
    <font>
      <b/>
      <sz val="8"/>
      <color theme="3" tint="0.39997558519241921"/>
      <name val="Arial Narrow"/>
      <family val="2"/>
    </font>
    <font>
      <sz val="6"/>
      <name val="Calibri"/>
      <family val="2"/>
      <scheme val="minor"/>
    </font>
    <font>
      <sz val="6"/>
      <name val="Arial Narrow"/>
      <family val="2"/>
    </font>
    <font>
      <b/>
      <sz val="11"/>
      <name val="Calibri"/>
      <family val="2"/>
      <scheme val="minor"/>
    </font>
    <font>
      <u/>
      <sz val="11"/>
      <color theme="10"/>
      <name val="Calibri"/>
      <family val="2"/>
      <scheme val="minor"/>
    </font>
    <font>
      <b/>
      <sz val="8"/>
      <name val="Arial"/>
      <family val="2"/>
    </font>
    <font>
      <b/>
      <sz val="9"/>
      <name val="Calibri"/>
      <family val="2"/>
      <scheme val="minor"/>
    </font>
    <font>
      <sz val="8"/>
      <name val="Arial"/>
      <family val="2"/>
    </font>
    <font>
      <b/>
      <sz val="8"/>
      <color theme="1"/>
      <name val="Arial Narrow"/>
      <family val="2"/>
    </font>
    <font>
      <sz val="7"/>
      <name val="Calibri"/>
      <family val="2"/>
      <scheme val="minor"/>
    </font>
    <font>
      <sz val="8"/>
      <name val="Calibri"/>
      <family val="2"/>
      <scheme val="minor"/>
    </font>
    <font>
      <b/>
      <sz val="8"/>
      <color indexed="10"/>
      <name val="Arial Narrow"/>
      <family val="2"/>
    </font>
    <font>
      <b/>
      <sz val="10"/>
      <name val="Arial"/>
      <family val="2"/>
    </font>
    <font>
      <b/>
      <sz val="7"/>
      <name val="Univers"/>
    </font>
    <font>
      <b/>
      <sz val="9"/>
      <name val="Univers"/>
      <family val="2"/>
    </font>
    <font>
      <b/>
      <sz val="7"/>
      <name val="Univers"/>
      <family val="2"/>
    </font>
    <font>
      <sz val="7"/>
      <name val="Arial"/>
      <family val="2"/>
    </font>
    <font>
      <sz val="8"/>
      <name val="Univers"/>
      <family val="2"/>
    </font>
    <font>
      <b/>
      <sz val="8"/>
      <name val="Univers"/>
      <family val="2"/>
    </font>
    <font>
      <sz val="7"/>
      <name val="Univers"/>
      <family val="2"/>
    </font>
    <font>
      <b/>
      <sz val="8"/>
      <name val="Univers"/>
    </font>
    <font>
      <sz val="9"/>
      <name val="Univers"/>
    </font>
    <font>
      <sz val="8"/>
      <name val="Univers"/>
    </font>
    <font>
      <b/>
      <sz val="6"/>
      <name val="Arial"/>
      <family val="2"/>
    </font>
    <font>
      <sz val="8"/>
      <color theme="1"/>
      <name val="Arial Narrow"/>
      <family val="2"/>
    </font>
    <font>
      <sz val="10"/>
      <name val="Univers"/>
      <family val="2"/>
    </font>
    <font>
      <b/>
      <sz val="9"/>
      <name val="Arial Narrow"/>
      <family val="2"/>
    </font>
    <font>
      <b/>
      <sz val="7"/>
      <name val="Arial Narrow"/>
      <family val="2"/>
    </font>
    <font>
      <u/>
      <sz val="7"/>
      <name val="Arial Narrow"/>
      <family val="2"/>
    </font>
    <font>
      <b/>
      <sz val="16"/>
      <name val="Arial"/>
      <family val="2"/>
    </font>
  </fonts>
  <fills count="27">
    <fill>
      <patternFill patternType="none"/>
    </fill>
    <fill>
      <patternFill patternType="gray125"/>
    </fill>
    <fill>
      <patternFill patternType="solid">
        <fgColor theme="4" tint="-0.24997711111789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theme="2" tint="-9.9978637043366805E-2"/>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rgb="FFFFFF99"/>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rgb="FF00B0F0"/>
        <bgColor indexed="64"/>
      </patternFill>
    </fill>
    <fill>
      <patternFill patternType="solid">
        <fgColor theme="9" tint="0.59999389629810485"/>
        <bgColor indexed="64"/>
      </patternFill>
    </fill>
    <fill>
      <patternFill patternType="solid">
        <fgColor rgb="FFD4D2D2"/>
        <bgColor indexed="64"/>
      </patternFill>
    </fill>
    <fill>
      <patternFill patternType="solid">
        <fgColor rgb="FFC4C4C4"/>
        <bgColor indexed="64"/>
      </patternFill>
    </fill>
    <fill>
      <patternFill patternType="solid">
        <fgColor indexed="31"/>
        <bgColor indexed="64"/>
      </patternFill>
    </fill>
    <fill>
      <patternFill patternType="solid">
        <fgColor indexed="26"/>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rgb="FF99FFCC"/>
        <bgColor indexed="64"/>
      </patternFill>
    </fill>
  </fills>
  <borders count="73">
    <border>
      <left/>
      <right/>
      <top/>
      <bottom/>
      <diagonal/>
    </border>
    <border>
      <left/>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8"/>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8" fillId="0" borderId="0" applyNumberFormat="0" applyFill="0" applyBorder="0" applyAlignment="0" applyProtection="0"/>
  </cellStyleXfs>
  <cellXfs count="689">
    <xf numFmtId="0" fontId="0" fillId="0" borderId="0" xfId="0"/>
    <xf numFmtId="0" fontId="3" fillId="2" borderId="0" xfId="3" applyFont="1" applyFill="1" applyAlignment="1">
      <alignment vertical="center" wrapText="1"/>
    </xf>
    <xf numFmtId="0" fontId="3" fillId="0" borderId="0" xfId="3" applyFont="1" applyFill="1" applyAlignment="1">
      <alignment vertical="center" wrapText="1"/>
    </xf>
    <xf numFmtId="0" fontId="3" fillId="0" borderId="0" xfId="0" applyFont="1" applyFill="1" applyAlignment="1">
      <alignment vertical="center" wrapText="1"/>
    </xf>
    <xf numFmtId="0" fontId="10" fillId="6" borderId="23" xfId="0" applyFont="1" applyFill="1" applyBorder="1" applyAlignment="1">
      <alignment horizontal="center" vertical="top" wrapText="1"/>
    </xf>
    <xf numFmtId="0" fontId="10" fillId="6" borderId="18" xfId="0" applyFont="1" applyFill="1" applyBorder="1" applyAlignment="1">
      <alignment horizontal="center" vertical="top" wrapText="1"/>
    </xf>
    <xf numFmtId="0" fontId="10" fillId="7" borderId="18" xfId="0" applyFont="1" applyFill="1" applyBorder="1" applyAlignment="1">
      <alignment horizontal="center" vertical="top" wrapText="1"/>
    </xf>
    <xf numFmtId="0" fontId="10" fillId="8" borderId="18" xfId="0" applyFont="1" applyFill="1" applyBorder="1" applyAlignment="1">
      <alignment horizontal="center" vertical="top" wrapText="1"/>
    </xf>
    <xf numFmtId="0" fontId="10" fillId="8" borderId="24" xfId="0" applyFont="1" applyFill="1" applyBorder="1" applyAlignment="1">
      <alignment horizontal="center" vertical="top" wrapText="1"/>
    </xf>
    <xf numFmtId="0" fontId="10" fillId="9" borderId="18" xfId="0" applyFont="1" applyFill="1" applyBorder="1" applyAlignment="1">
      <alignment horizontal="center" vertical="center" wrapText="1"/>
    </xf>
    <xf numFmtId="0" fontId="10" fillId="9" borderId="18" xfId="0" applyFont="1" applyFill="1" applyBorder="1" applyAlignment="1">
      <alignment horizontal="center" vertical="top" wrapText="1"/>
    </xf>
    <xf numFmtId="0" fontId="11" fillId="9" borderId="18" xfId="0" applyFont="1" applyFill="1" applyBorder="1" applyAlignment="1">
      <alignment horizontal="center" vertical="top" wrapText="1"/>
    </xf>
    <xf numFmtId="0" fontId="10" fillId="10" borderId="18" xfId="0" applyFont="1" applyFill="1" applyBorder="1" applyAlignment="1">
      <alignment horizontal="center" vertical="top" wrapText="1"/>
    </xf>
    <xf numFmtId="9" fontId="10" fillId="6" borderId="28" xfId="0" applyNumberFormat="1" applyFont="1" applyFill="1" applyBorder="1" applyAlignment="1">
      <alignment horizontal="center" vertical="center" wrapText="1"/>
    </xf>
    <xf numFmtId="9" fontId="10" fillId="11" borderId="1" xfId="0" applyNumberFormat="1" applyFont="1" applyFill="1" applyBorder="1" applyAlignment="1">
      <alignment horizontal="center" vertical="center" wrapText="1"/>
    </xf>
    <xf numFmtId="164" fontId="10" fillId="11" borderId="28"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4" fontId="5" fillId="0" borderId="28" xfId="0" applyNumberFormat="1" applyFont="1" applyFill="1" applyBorder="1" applyAlignment="1">
      <alignment horizontal="right" vertical="center" wrapText="1"/>
    </xf>
    <xf numFmtId="9" fontId="5" fillId="0" borderId="1" xfId="2" applyNumberFormat="1" applyFont="1" applyFill="1" applyBorder="1" applyAlignment="1">
      <alignment horizontal="center" vertical="center" wrapText="1"/>
    </xf>
    <xf numFmtId="9" fontId="5" fillId="0" borderId="28" xfId="2" applyFont="1" applyFill="1" applyBorder="1" applyAlignment="1">
      <alignment horizontal="center" vertical="center" wrapText="1"/>
    </xf>
    <xf numFmtId="3" fontId="5" fillId="0" borderId="23" xfId="0" applyNumberFormat="1" applyFont="1" applyFill="1" applyBorder="1" applyAlignment="1">
      <alignment vertical="center" wrapText="1"/>
    </xf>
    <xf numFmtId="9" fontId="10" fillId="6" borderId="30" xfId="0" applyNumberFormat="1" applyFont="1" applyFill="1" applyBorder="1" applyAlignment="1">
      <alignment horizontal="center" vertical="center" wrapText="1"/>
    </xf>
    <xf numFmtId="9" fontId="10" fillId="11" borderId="30" xfId="0" applyNumberFormat="1" applyFont="1" applyFill="1" applyBorder="1" applyAlignment="1">
      <alignment horizontal="center" vertical="center" wrapText="1"/>
    </xf>
    <xf numFmtId="9" fontId="10" fillId="12" borderId="28" xfId="0" applyNumberFormat="1" applyFont="1" applyFill="1" applyBorder="1" applyAlignment="1">
      <alignment horizontal="center" vertical="center" wrapText="1"/>
    </xf>
    <xf numFmtId="9" fontId="10" fillId="12" borderId="30" xfId="0" applyNumberFormat="1" applyFont="1" applyFill="1" applyBorder="1" applyAlignment="1">
      <alignment horizontal="center" vertical="center" wrapText="1"/>
    </xf>
    <xf numFmtId="9" fontId="10" fillId="8" borderId="28" xfId="0" applyNumberFormat="1" applyFont="1" applyFill="1" applyBorder="1" applyAlignment="1">
      <alignment horizontal="center" vertical="center" wrapText="1"/>
    </xf>
    <xf numFmtId="164" fontId="15" fillId="8" borderId="30" xfId="0" applyNumberFormat="1" applyFont="1" applyFill="1" applyBorder="1" applyAlignment="1">
      <alignment horizontal="center" vertical="center" wrapText="1"/>
    </xf>
    <xf numFmtId="165" fontId="16" fillId="0" borderId="28" xfId="1" applyNumberFormat="1" applyFont="1" applyFill="1" applyBorder="1" applyAlignment="1" applyProtection="1">
      <alignment horizontal="right" vertical="center" wrapText="1"/>
      <protection locked="0"/>
    </xf>
    <xf numFmtId="165" fontId="16" fillId="0" borderId="30" xfId="1" applyNumberFormat="1" applyFont="1" applyFill="1" applyBorder="1" applyAlignment="1" applyProtection="1">
      <alignment horizontal="right" vertical="center" wrapText="1"/>
      <protection locked="0"/>
    </xf>
    <xf numFmtId="9" fontId="16" fillId="0" borderId="28" xfId="2" applyNumberFormat="1" applyFont="1" applyFill="1" applyBorder="1" applyAlignment="1">
      <alignment horizontal="center" vertical="center" wrapText="1"/>
    </xf>
    <xf numFmtId="4" fontId="16" fillId="0" borderId="30" xfId="0" applyNumberFormat="1" applyFont="1" applyFill="1" applyBorder="1" applyAlignment="1">
      <alignment horizontal="right" vertical="center" wrapText="1"/>
    </xf>
    <xf numFmtId="4" fontId="16" fillId="0" borderId="28" xfId="0" applyNumberFormat="1" applyFont="1" applyFill="1" applyBorder="1" applyAlignment="1">
      <alignment horizontal="right" vertical="center" wrapText="1"/>
    </xf>
    <xf numFmtId="9" fontId="16" fillId="0" borderId="30" xfId="2" applyFont="1" applyFill="1" applyBorder="1" applyAlignment="1">
      <alignment horizontal="center" vertical="center" wrapText="1"/>
    </xf>
    <xf numFmtId="3" fontId="5" fillId="0" borderId="28" xfId="0" applyNumberFormat="1" applyFont="1" applyFill="1" applyBorder="1" applyAlignment="1">
      <alignment vertical="center" wrapText="1"/>
    </xf>
    <xf numFmtId="0" fontId="17" fillId="13" borderId="10" xfId="0" applyFont="1" applyFill="1" applyBorder="1" applyAlignment="1">
      <alignment horizontal="justify" vertical="top" wrapText="1"/>
    </xf>
    <xf numFmtId="3" fontId="15" fillId="6" borderId="9" xfId="0" applyNumberFormat="1" applyFont="1" applyFill="1" applyBorder="1" applyAlignment="1">
      <alignment horizontal="center" vertical="center" wrapText="1"/>
    </xf>
    <xf numFmtId="9" fontId="15" fillId="6" borderId="9" xfId="2" applyFont="1" applyFill="1" applyBorder="1" applyAlignment="1">
      <alignment horizontal="center" vertical="center" wrapText="1"/>
    </xf>
    <xf numFmtId="9" fontId="15" fillId="7" borderId="9" xfId="2" applyFont="1" applyFill="1" applyBorder="1" applyAlignment="1">
      <alignment horizontal="center" vertical="center" wrapText="1"/>
    </xf>
    <xf numFmtId="9" fontId="15" fillId="11" borderId="9" xfId="0" applyNumberFormat="1" applyFont="1" applyFill="1" applyBorder="1" applyAlignment="1">
      <alignment horizontal="center" vertical="center" wrapText="1"/>
    </xf>
    <xf numFmtId="9" fontId="15" fillId="11" borderId="9" xfId="0" applyNumberFormat="1" applyFont="1" applyFill="1" applyBorder="1" applyAlignment="1">
      <alignment vertical="center" wrapText="1"/>
    </xf>
    <xf numFmtId="9" fontId="15" fillId="8" borderId="9" xfId="2" applyFont="1" applyFill="1" applyBorder="1" applyAlignment="1">
      <alignment horizontal="center" vertical="center" wrapText="1"/>
    </xf>
    <xf numFmtId="9" fontId="15" fillId="8" borderId="9" xfId="0" applyNumberFormat="1" applyFont="1" applyFill="1" applyBorder="1" applyAlignment="1">
      <alignment horizontal="center" vertical="center" wrapText="1"/>
    </xf>
    <xf numFmtId="3" fontId="18" fillId="8" borderId="9" xfId="0" applyNumberFormat="1" applyFont="1" applyFill="1" applyBorder="1" applyAlignment="1">
      <alignment vertical="center" wrapText="1"/>
    </xf>
    <xf numFmtId="3" fontId="19" fillId="0" borderId="9" xfId="0" applyNumberFormat="1" applyFont="1" applyFill="1" applyBorder="1" applyAlignment="1">
      <alignment vertical="center" wrapText="1"/>
    </xf>
    <xf numFmtId="3" fontId="20" fillId="0" borderId="31" xfId="0" applyNumberFormat="1" applyFont="1" applyFill="1" applyBorder="1" applyAlignment="1">
      <alignment vertical="center" wrapText="1"/>
    </xf>
    <xf numFmtId="0" fontId="17" fillId="13" borderId="16" xfId="0" applyFont="1" applyFill="1" applyBorder="1" applyAlignment="1">
      <alignment horizontal="justify" vertical="top" wrapText="1"/>
    </xf>
    <xf numFmtId="3" fontId="15" fillId="6" borderId="15" xfId="0" applyNumberFormat="1" applyFont="1" applyFill="1" applyBorder="1" applyAlignment="1">
      <alignment horizontal="center" vertical="center" wrapText="1"/>
    </xf>
    <xf numFmtId="9" fontId="15" fillId="6" borderId="15" xfId="2" applyFont="1" applyFill="1" applyBorder="1" applyAlignment="1">
      <alignment horizontal="center" vertical="center" wrapText="1"/>
    </xf>
    <xf numFmtId="9" fontId="15" fillId="7" borderId="15" xfId="2" applyFont="1" applyFill="1" applyBorder="1" applyAlignment="1">
      <alignment horizontal="center" vertical="center" wrapText="1"/>
    </xf>
    <xf numFmtId="0" fontId="15" fillId="6" borderId="15" xfId="0" applyNumberFormat="1" applyFont="1" applyFill="1" applyBorder="1" applyAlignment="1">
      <alignment horizontal="center" vertical="center" wrapText="1"/>
    </xf>
    <xf numFmtId="9" fontId="21" fillId="11" borderId="9" xfId="0" applyNumberFormat="1" applyFont="1" applyFill="1" applyBorder="1" applyAlignment="1">
      <alignment horizontal="center" vertical="center" wrapText="1"/>
    </xf>
    <xf numFmtId="9" fontId="15" fillId="8" borderId="15" xfId="2" applyFont="1" applyFill="1" applyBorder="1" applyAlignment="1">
      <alignment horizontal="center" vertical="center" wrapText="1"/>
    </xf>
    <xf numFmtId="9" fontId="15" fillId="8" borderId="15" xfId="0" applyNumberFormat="1" applyFont="1" applyFill="1" applyBorder="1" applyAlignment="1">
      <alignment horizontal="center" vertical="center" wrapText="1"/>
    </xf>
    <xf numFmtId="3" fontId="18" fillId="8" borderId="15" xfId="0" applyNumberFormat="1" applyFont="1" applyFill="1" applyBorder="1" applyAlignment="1">
      <alignment vertical="center" wrapText="1"/>
    </xf>
    <xf numFmtId="3" fontId="19" fillId="0" borderId="15" xfId="0" applyNumberFormat="1" applyFont="1" applyFill="1" applyBorder="1" applyAlignment="1">
      <alignment vertical="center" wrapText="1"/>
    </xf>
    <xf numFmtId="3" fontId="19" fillId="0" borderId="32" xfId="0" applyNumberFormat="1" applyFont="1" applyFill="1" applyBorder="1" applyAlignment="1">
      <alignment vertical="center" wrapText="1"/>
    </xf>
    <xf numFmtId="9" fontId="15" fillId="6" borderId="15" xfId="0" applyNumberFormat="1" applyFont="1" applyFill="1" applyBorder="1" applyAlignment="1">
      <alignment horizontal="center" vertical="center" wrapText="1"/>
    </xf>
    <xf numFmtId="10" fontId="15" fillId="11" borderId="15" xfId="0" applyNumberFormat="1" applyFont="1" applyFill="1" applyBorder="1" applyAlignment="1">
      <alignment horizontal="center" vertical="center" wrapText="1"/>
    </xf>
    <xf numFmtId="9" fontId="22" fillId="6" borderId="15" xfId="0" applyNumberFormat="1" applyFont="1" applyFill="1" applyBorder="1" applyAlignment="1">
      <alignment horizontal="center" vertical="center" wrapText="1"/>
    </xf>
    <xf numFmtId="10" fontId="18" fillId="11" borderId="15" xfId="0" applyNumberFormat="1" applyFont="1" applyFill="1" applyBorder="1" applyAlignment="1">
      <alignment horizontal="center" vertical="center" wrapText="1"/>
    </xf>
    <xf numFmtId="3" fontId="15" fillId="8" borderId="15" xfId="0" applyNumberFormat="1" applyFont="1" applyFill="1" applyBorder="1" applyAlignment="1">
      <alignment vertical="center" wrapText="1"/>
    </xf>
    <xf numFmtId="3" fontId="10" fillId="0" borderId="15" xfId="0" applyNumberFormat="1" applyFont="1" applyFill="1" applyBorder="1" applyAlignment="1">
      <alignment vertical="center" wrapText="1"/>
    </xf>
    <xf numFmtId="3" fontId="10" fillId="0" borderId="32" xfId="0" applyNumberFormat="1" applyFont="1" applyFill="1" applyBorder="1" applyAlignment="1">
      <alignment vertical="center" wrapText="1"/>
    </xf>
    <xf numFmtId="0" fontId="17" fillId="14" borderId="16" xfId="0" applyFont="1" applyFill="1" applyBorder="1" applyAlignment="1">
      <alignment horizontal="justify" vertical="top" wrapText="1"/>
    </xf>
    <xf numFmtId="9" fontId="15" fillId="11" borderId="15" xfId="0" applyNumberFormat="1" applyFont="1" applyFill="1" applyBorder="1" applyAlignment="1">
      <alignment horizontal="center" vertical="center" wrapText="1"/>
    </xf>
    <xf numFmtId="9" fontId="18" fillId="11" borderId="15" xfId="0" applyNumberFormat="1" applyFont="1" applyFill="1" applyBorder="1" applyAlignment="1">
      <alignment horizontal="center" vertical="center" wrapText="1"/>
    </xf>
    <xf numFmtId="9" fontId="15" fillId="12" borderId="15" xfId="0" applyNumberFormat="1" applyFont="1" applyFill="1" applyBorder="1" applyAlignment="1">
      <alignment horizontal="center" vertical="center" wrapText="1"/>
    </xf>
    <xf numFmtId="0" fontId="17" fillId="14" borderId="20" xfId="0" applyFont="1" applyFill="1" applyBorder="1" applyAlignment="1">
      <alignment horizontal="justify" vertical="center" wrapText="1"/>
    </xf>
    <xf numFmtId="3" fontId="15" fillId="6" borderId="19" xfId="0" applyNumberFormat="1" applyFont="1" applyFill="1" applyBorder="1" applyAlignment="1">
      <alignment horizontal="center" vertical="center" wrapText="1"/>
    </xf>
    <xf numFmtId="9" fontId="15" fillId="6" borderId="19" xfId="2" applyFont="1" applyFill="1" applyBorder="1" applyAlignment="1">
      <alignment horizontal="center" vertical="center" wrapText="1"/>
    </xf>
    <xf numFmtId="9" fontId="15" fillId="7" borderId="19" xfId="2" applyFont="1" applyFill="1" applyBorder="1" applyAlignment="1">
      <alignment horizontal="center" vertical="center" wrapText="1"/>
    </xf>
    <xf numFmtId="9" fontId="15" fillId="6" borderId="19" xfId="0" applyNumberFormat="1" applyFont="1" applyFill="1" applyBorder="1" applyAlignment="1">
      <alignment horizontal="center" vertical="center" wrapText="1"/>
    </xf>
    <xf numFmtId="9" fontId="18" fillId="11" borderId="19" xfId="0" applyNumberFormat="1" applyFont="1" applyFill="1" applyBorder="1" applyAlignment="1">
      <alignment horizontal="center" vertical="center" wrapText="1"/>
    </xf>
    <xf numFmtId="9" fontId="15" fillId="8" borderId="19" xfId="2" applyFont="1" applyFill="1" applyBorder="1" applyAlignment="1">
      <alignment horizontal="center" vertical="center" wrapText="1"/>
    </xf>
    <xf numFmtId="9" fontId="15" fillId="12" borderId="19" xfId="0" applyNumberFormat="1" applyFont="1" applyFill="1" applyBorder="1" applyAlignment="1">
      <alignment horizontal="center" vertical="center" wrapText="1"/>
    </xf>
    <xf numFmtId="3" fontId="15" fillId="8" borderId="19" xfId="0" applyNumberFormat="1" applyFont="1" applyFill="1" applyBorder="1" applyAlignment="1">
      <alignment vertical="center" wrapText="1"/>
    </xf>
    <xf numFmtId="3" fontId="10" fillId="0" borderId="19" xfId="0" applyNumberFormat="1" applyFont="1" applyFill="1" applyBorder="1" applyAlignment="1">
      <alignment vertical="center" wrapText="1"/>
    </xf>
    <xf numFmtId="3" fontId="10" fillId="0" borderId="14" xfId="0" applyNumberFormat="1" applyFont="1" applyFill="1" applyBorder="1" applyAlignment="1">
      <alignment vertical="center" wrapText="1"/>
    </xf>
    <xf numFmtId="10" fontId="10" fillId="6" borderId="4" xfId="0" applyNumberFormat="1" applyFont="1" applyFill="1" applyBorder="1" applyAlignment="1">
      <alignment horizontal="center" vertical="center" wrapText="1"/>
    </xf>
    <xf numFmtId="10" fontId="10" fillId="11" borderId="28" xfId="0" applyNumberFormat="1" applyFont="1" applyFill="1" applyBorder="1" applyAlignment="1">
      <alignment horizontal="center" vertical="center" wrapText="1"/>
    </xf>
    <xf numFmtId="10" fontId="10" fillId="12" borderId="4" xfId="0" applyNumberFormat="1" applyFont="1" applyFill="1" applyBorder="1" applyAlignment="1">
      <alignment horizontal="center" vertical="center" wrapText="1"/>
    </xf>
    <xf numFmtId="10" fontId="10" fillId="12" borderId="28" xfId="0" applyNumberFormat="1" applyFont="1" applyFill="1" applyBorder="1" applyAlignment="1">
      <alignment horizontal="center" vertical="center" wrapText="1"/>
    </xf>
    <xf numFmtId="9" fontId="10" fillId="12" borderId="4" xfId="0" applyNumberFormat="1" applyFont="1" applyFill="1" applyBorder="1" applyAlignment="1">
      <alignment horizontal="center" vertical="center" wrapText="1"/>
    </xf>
    <xf numFmtId="164" fontId="15" fillId="8" borderId="28" xfId="0" applyNumberFormat="1" applyFont="1" applyFill="1" applyBorder="1" applyAlignment="1">
      <alignment horizontal="center" vertical="center" wrapText="1"/>
    </xf>
    <xf numFmtId="43" fontId="16" fillId="0" borderId="4" xfId="1" applyFont="1" applyFill="1" applyBorder="1" applyAlignment="1" applyProtection="1">
      <alignment horizontal="center" vertical="center" wrapText="1"/>
      <protection locked="0"/>
    </xf>
    <xf numFmtId="43" fontId="16" fillId="0" borderId="28" xfId="1" applyFont="1" applyFill="1" applyBorder="1" applyAlignment="1" applyProtection="1">
      <alignment horizontal="center" vertical="center" wrapText="1"/>
      <protection locked="0"/>
    </xf>
    <xf numFmtId="9" fontId="5" fillId="0" borderId="4" xfId="2" applyNumberFormat="1" applyFont="1" applyFill="1" applyBorder="1" applyAlignment="1">
      <alignment horizontal="center" vertical="center" wrapText="1"/>
    </xf>
    <xf numFmtId="4" fontId="16" fillId="0" borderId="4" xfId="0" applyNumberFormat="1" applyFont="1" applyFill="1" applyBorder="1" applyAlignment="1">
      <alignment horizontal="right" vertical="center" wrapText="1"/>
    </xf>
    <xf numFmtId="9" fontId="16" fillId="0" borderId="28" xfId="2" applyFont="1" applyFill="1" applyBorder="1" applyAlignment="1">
      <alignment horizontal="center" vertical="center" wrapText="1"/>
    </xf>
    <xf numFmtId="3" fontId="5" fillId="0" borderId="27" xfId="0" applyNumberFormat="1" applyFont="1" applyFill="1" applyBorder="1" applyAlignment="1">
      <alignment vertical="center" wrapText="1"/>
    </xf>
    <xf numFmtId="0" fontId="17" fillId="13" borderId="10" xfId="4" applyFont="1" applyFill="1" applyBorder="1" applyAlignment="1">
      <alignment horizontal="justify" vertical="top" wrapText="1"/>
    </xf>
    <xf numFmtId="9" fontId="15" fillId="12" borderId="9" xfId="0" applyNumberFormat="1" applyFont="1" applyFill="1" applyBorder="1" applyAlignment="1">
      <alignment horizontal="center" vertical="center" wrapText="1"/>
    </xf>
    <xf numFmtId="3" fontId="15" fillId="8" borderId="9" xfId="0" applyNumberFormat="1" applyFont="1" applyFill="1" applyBorder="1" applyAlignment="1">
      <alignment vertical="center" wrapText="1"/>
    </xf>
    <xf numFmtId="3" fontId="10" fillId="0" borderId="9" xfId="0" applyNumberFormat="1" applyFont="1" applyFill="1" applyBorder="1" applyAlignment="1">
      <alignment vertical="center" wrapText="1"/>
    </xf>
    <xf numFmtId="3" fontId="10" fillId="0" borderId="31" xfId="0" applyNumberFormat="1" applyFont="1" applyFill="1" applyBorder="1" applyAlignment="1">
      <alignment vertical="center" wrapText="1"/>
    </xf>
    <xf numFmtId="0" fontId="17" fillId="13" borderId="16" xfId="4" applyFont="1" applyFill="1" applyBorder="1" applyAlignment="1">
      <alignment horizontal="justify" vertical="top" wrapText="1"/>
    </xf>
    <xf numFmtId="3" fontId="23" fillId="8" borderId="15" xfId="0" applyNumberFormat="1" applyFont="1" applyFill="1" applyBorder="1" applyAlignment="1">
      <alignment vertical="center" wrapText="1"/>
    </xf>
    <xf numFmtId="3" fontId="24" fillId="0" borderId="15" xfId="0" applyNumberFormat="1" applyFont="1" applyFill="1" applyBorder="1" applyAlignment="1">
      <alignment vertical="center" wrapText="1"/>
    </xf>
    <xf numFmtId="3" fontId="24" fillId="0" borderId="32" xfId="0" applyNumberFormat="1" applyFont="1" applyFill="1" applyBorder="1" applyAlignment="1">
      <alignment vertical="center" wrapText="1"/>
    </xf>
    <xf numFmtId="0" fontId="17" fillId="14" borderId="16" xfId="4" applyFont="1" applyFill="1" applyBorder="1" applyAlignment="1">
      <alignment horizontal="justify" vertical="top" wrapText="1"/>
    </xf>
    <xf numFmtId="3" fontId="15" fillId="7" borderId="15" xfId="0" applyNumberFormat="1" applyFont="1" applyFill="1" applyBorder="1" applyAlignment="1">
      <alignment horizontal="center" vertical="center" wrapText="1"/>
    </xf>
    <xf numFmtId="3" fontId="15" fillId="8" borderId="15" xfId="0" applyNumberFormat="1" applyFont="1" applyFill="1" applyBorder="1" applyAlignment="1">
      <alignment horizontal="center" vertical="center" wrapText="1"/>
    </xf>
    <xf numFmtId="0" fontId="17" fillId="14" borderId="20" xfId="4" applyFont="1" applyFill="1" applyBorder="1" applyAlignment="1">
      <alignment horizontal="justify" vertical="top" wrapText="1"/>
    </xf>
    <xf numFmtId="9" fontId="10" fillId="6" borderId="4" xfId="0" applyNumberFormat="1" applyFont="1" applyFill="1" applyBorder="1" applyAlignment="1">
      <alignment horizontal="center" vertical="center" wrapText="1"/>
    </xf>
    <xf numFmtId="9" fontId="5" fillId="0" borderId="4" xfId="2" applyFont="1" applyFill="1" applyBorder="1" applyAlignment="1">
      <alignment horizontal="center" vertical="center" wrapText="1"/>
    </xf>
    <xf numFmtId="0" fontId="17" fillId="14" borderId="10" xfId="0" applyFont="1" applyFill="1" applyBorder="1" applyAlignment="1">
      <alignment horizontal="justify" vertical="top" wrapText="1"/>
    </xf>
    <xf numFmtId="0" fontId="15" fillId="11" borderId="9" xfId="0" applyFont="1" applyFill="1" applyBorder="1" applyAlignment="1">
      <alignment horizontal="center" vertical="center" wrapText="1"/>
    </xf>
    <xf numFmtId="0" fontId="15" fillId="7" borderId="9" xfId="0" applyFont="1" applyFill="1" applyBorder="1" applyAlignment="1">
      <alignment horizontal="center" vertical="center" wrapText="1"/>
    </xf>
    <xf numFmtId="9" fontId="15" fillId="6" borderId="9" xfId="0" applyNumberFormat="1"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8" borderId="9" xfId="0" applyFont="1" applyFill="1" applyBorder="1" applyAlignment="1">
      <alignment horizontal="center" vertical="center" wrapText="1"/>
    </xf>
    <xf numFmtId="3" fontId="15" fillId="8" borderId="9" xfId="0" applyNumberFormat="1" applyFont="1" applyFill="1" applyBorder="1" applyAlignment="1">
      <alignment horizontal="center" vertical="center" wrapText="1"/>
    </xf>
    <xf numFmtId="166" fontId="15" fillId="8" borderId="9" xfId="0" applyNumberFormat="1" applyFont="1" applyFill="1" applyBorder="1" applyAlignment="1">
      <alignment horizontal="center" vertical="center" wrapText="1"/>
    </xf>
    <xf numFmtId="43" fontId="15" fillId="0" borderId="9" xfId="1" applyFont="1" applyFill="1" applyBorder="1" applyAlignment="1" applyProtection="1">
      <alignment horizontal="center" vertical="center" wrapText="1"/>
      <protection locked="0"/>
    </xf>
    <xf numFmtId="4" fontId="10" fillId="0" borderId="9" xfId="0" applyNumberFormat="1" applyFont="1" applyFill="1" applyBorder="1" applyAlignment="1">
      <alignment horizontal="center" vertical="center" wrapText="1"/>
    </xf>
    <xf numFmtId="4" fontId="15" fillId="0" borderId="9" xfId="0" applyNumberFormat="1" applyFont="1" applyFill="1" applyBorder="1" applyAlignment="1">
      <alignment horizontal="center" vertical="center" wrapText="1"/>
    </xf>
    <xf numFmtId="9" fontId="15" fillId="11" borderId="15" xfId="2" applyFont="1" applyFill="1" applyBorder="1" applyAlignment="1">
      <alignment horizontal="center" vertical="center" wrapText="1"/>
    </xf>
    <xf numFmtId="0" fontId="15" fillId="6" borderId="15" xfId="0" applyFont="1" applyFill="1" applyBorder="1" applyAlignment="1">
      <alignment horizontal="center" vertical="center" wrapText="1"/>
    </xf>
    <xf numFmtId="166" fontId="15" fillId="8" borderId="15" xfId="0" applyNumberFormat="1" applyFont="1" applyFill="1" applyBorder="1" applyAlignment="1">
      <alignment horizontal="center" vertical="center" wrapText="1"/>
    </xf>
    <xf numFmtId="43" fontId="15" fillId="0" borderId="15" xfId="1" applyFont="1" applyFill="1" applyBorder="1" applyAlignment="1" applyProtection="1">
      <alignment horizontal="center" vertical="center" wrapText="1"/>
      <protection locked="0"/>
    </xf>
    <xf numFmtId="4" fontId="10" fillId="0" borderId="15" xfId="0" applyNumberFormat="1" applyFont="1" applyFill="1" applyBorder="1" applyAlignment="1">
      <alignment horizontal="center" vertical="center" wrapText="1"/>
    </xf>
    <xf numFmtId="4" fontId="15" fillId="0" borderId="15" xfId="0" applyNumberFormat="1" applyFont="1" applyFill="1" applyBorder="1" applyAlignment="1">
      <alignment horizontal="center" vertical="center" wrapText="1"/>
    </xf>
    <xf numFmtId="0" fontId="15" fillId="11" borderId="15"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7" fillId="3" borderId="20" xfId="0" applyFont="1" applyFill="1" applyBorder="1" applyAlignment="1">
      <alignment horizontal="justify" vertical="top" wrapText="1"/>
    </xf>
    <xf numFmtId="0" fontId="15" fillId="11" borderId="19" xfId="0" applyFont="1" applyFill="1" applyBorder="1" applyAlignment="1">
      <alignment horizontal="center" vertical="center" wrapText="1"/>
    </xf>
    <xf numFmtId="0" fontId="15" fillId="7" borderId="19"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8" borderId="19" xfId="0" applyFont="1" applyFill="1" applyBorder="1" applyAlignment="1">
      <alignment horizontal="center" vertical="center" wrapText="1"/>
    </xf>
    <xf numFmtId="3" fontId="15" fillId="8" borderId="19" xfId="0" applyNumberFormat="1" applyFont="1" applyFill="1" applyBorder="1" applyAlignment="1">
      <alignment horizontal="center" vertical="center" wrapText="1"/>
    </xf>
    <xf numFmtId="166" fontId="15" fillId="8" borderId="19" xfId="0" applyNumberFormat="1" applyFont="1" applyFill="1" applyBorder="1" applyAlignment="1">
      <alignment horizontal="center" vertical="center" wrapText="1"/>
    </xf>
    <xf numFmtId="43" fontId="15" fillId="0" borderId="19" xfId="1" applyFont="1" applyFill="1" applyBorder="1" applyAlignment="1" applyProtection="1">
      <alignment horizontal="center" vertical="center" wrapText="1"/>
      <protection locked="0"/>
    </xf>
    <xf numFmtId="4" fontId="10" fillId="0" borderId="19" xfId="0" applyNumberFormat="1" applyFont="1" applyFill="1" applyBorder="1" applyAlignment="1">
      <alignment horizontal="center" vertical="center" wrapText="1"/>
    </xf>
    <xf numFmtId="4" fontId="15" fillId="0" borderId="19" xfId="0" applyNumberFormat="1" applyFont="1" applyFill="1" applyBorder="1" applyAlignment="1">
      <alignment horizontal="center" vertical="center" wrapText="1"/>
    </xf>
    <xf numFmtId="0" fontId="10" fillId="0" borderId="19" xfId="0" applyFont="1" applyFill="1" applyBorder="1" applyAlignment="1">
      <alignment vertical="center" wrapText="1"/>
    </xf>
    <xf numFmtId="9" fontId="10" fillId="6" borderId="1" xfId="0" applyNumberFormat="1" applyFont="1" applyFill="1" applyBorder="1" applyAlignment="1">
      <alignment horizontal="center" vertical="center" wrapText="1"/>
    </xf>
    <xf numFmtId="0" fontId="10" fillId="6" borderId="28" xfId="0" applyFont="1" applyFill="1" applyBorder="1" applyAlignment="1">
      <alignment vertical="center" wrapText="1"/>
    </xf>
    <xf numFmtId="0" fontId="10" fillId="6" borderId="1" xfId="0" applyFont="1" applyFill="1" applyBorder="1" applyAlignment="1">
      <alignment vertical="center" wrapText="1"/>
    </xf>
    <xf numFmtId="0" fontId="10" fillId="11" borderId="28" xfId="0" applyFont="1" applyFill="1" applyBorder="1" applyAlignment="1">
      <alignment vertical="center" wrapText="1"/>
    </xf>
    <xf numFmtId="3" fontId="15" fillId="11" borderId="1" xfId="0" applyNumberFormat="1" applyFont="1" applyFill="1" applyBorder="1" applyAlignment="1">
      <alignment horizontal="center" vertical="center" wrapText="1"/>
    </xf>
    <xf numFmtId="9" fontId="10" fillId="11" borderId="28" xfId="0" applyNumberFormat="1" applyFont="1" applyFill="1" applyBorder="1" applyAlignment="1">
      <alignment horizontal="center" vertical="center" wrapText="1"/>
    </xf>
    <xf numFmtId="164" fontId="10" fillId="11" borderId="1" xfId="0" applyNumberFormat="1" applyFont="1" applyFill="1" applyBorder="1" applyAlignment="1">
      <alignment horizontal="center" vertical="center" wrapText="1"/>
    </xf>
    <xf numFmtId="4" fontId="5" fillId="0" borderId="33" xfId="0" applyNumberFormat="1" applyFont="1" applyFill="1" applyBorder="1" applyAlignment="1">
      <alignment horizontal="right" vertical="center" wrapText="1"/>
    </xf>
    <xf numFmtId="9" fontId="5" fillId="0" borderId="26" xfId="2" applyFont="1" applyFill="1" applyBorder="1" applyAlignment="1">
      <alignment horizontal="center" vertical="center" wrapText="1"/>
    </xf>
    <xf numFmtId="0" fontId="10" fillId="0" borderId="8" xfId="0" applyFont="1" applyFill="1" applyBorder="1" applyAlignment="1">
      <alignment vertical="center" wrapText="1"/>
    </xf>
    <xf numFmtId="0" fontId="10" fillId="6" borderId="30" xfId="0" applyFont="1" applyFill="1" applyBorder="1" applyAlignment="1">
      <alignment vertical="center" wrapText="1"/>
    </xf>
    <xf numFmtId="0" fontId="10" fillId="6" borderId="28" xfId="0" applyFont="1" applyFill="1" applyBorder="1" applyAlignment="1">
      <alignment horizontal="center" vertical="center" wrapText="1"/>
    </xf>
    <xf numFmtId="0" fontId="10" fillId="8" borderId="30" xfId="0" applyFont="1" applyFill="1" applyBorder="1" applyAlignment="1">
      <alignment vertical="center" wrapText="1"/>
    </xf>
    <xf numFmtId="3" fontId="15" fillId="8" borderId="28" xfId="0" applyNumberFormat="1" applyFont="1" applyFill="1" applyBorder="1" applyAlignment="1">
      <alignment horizontal="center" vertical="center" wrapText="1"/>
    </xf>
    <xf numFmtId="9" fontId="10" fillId="8" borderId="30" xfId="0" applyNumberFormat="1" applyFont="1" applyFill="1" applyBorder="1" applyAlignment="1">
      <alignment horizontal="center" vertical="center" wrapText="1"/>
    </xf>
    <xf numFmtId="9" fontId="21" fillId="7" borderId="9" xfId="2" applyFont="1" applyFill="1" applyBorder="1" applyAlignment="1">
      <alignment horizontal="center" vertical="center" wrapText="1"/>
    </xf>
    <xf numFmtId="9" fontId="15" fillId="6" borderId="9" xfId="2" applyNumberFormat="1" applyFont="1" applyFill="1" applyBorder="1" applyAlignment="1">
      <alignment horizontal="center" vertical="center" wrapText="1"/>
    </xf>
    <xf numFmtId="3" fontId="21" fillId="6" borderId="10" xfId="0" applyNumberFormat="1" applyFont="1" applyFill="1" applyBorder="1" applyAlignment="1">
      <alignment horizontal="center" vertical="center" wrapText="1"/>
    </xf>
    <xf numFmtId="3" fontId="10" fillId="0" borderId="34" xfId="0" applyNumberFormat="1" applyFont="1" applyFill="1" applyBorder="1" applyAlignment="1">
      <alignment vertical="center" wrapText="1"/>
    </xf>
    <xf numFmtId="9" fontId="15" fillId="6" borderId="15" xfId="2" applyNumberFormat="1" applyFont="1" applyFill="1" applyBorder="1" applyAlignment="1">
      <alignment horizontal="center" vertical="center" wrapText="1"/>
    </xf>
    <xf numFmtId="3" fontId="21" fillId="6" borderId="15" xfId="0" applyNumberFormat="1" applyFont="1" applyFill="1" applyBorder="1" applyAlignment="1">
      <alignment horizontal="center" vertical="center" wrapText="1"/>
    </xf>
    <xf numFmtId="9" fontId="15" fillId="11" borderId="15" xfId="2" applyNumberFormat="1" applyFont="1" applyFill="1" applyBorder="1" applyAlignment="1">
      <alignment horizontal="center" vertical="center" wrapText="1"/>
    </xf>
    <xf numFmtId="3" fontId="25" fillId="0" borderId="14" xfId="0" applyNumberFormat="1" applyFont="1" applyFill="1" applyBorder="1" applyAlignment="1">
      <alignment vertical="center" wrapText="1"/>
    </xf>
    <xf numFmtId="3" fontId="26" fillId="0" borderId="14" xfId="0" applyNumberFormat="1" applyFont="1" applyFill="1" applyBorder="1" applyAlignment="1">
      <alignment horizontal="justify" vertical="top" wrapText="1"/>
    </xf>
    <xf numFmtId="9" fontId="15" fillId="12" borderId="15" xfId="2" applyFont="1" applyFill="1" applyBorder="1" applyAlignment="1">
      <alignment horizontal="center" vertical="center" wrapText="1"/>
    </xf>
    <xf numFmtId="3" fontId="10" fillId="0" borderId="16" xfId="0" applyNumberFormat="1" applyFont="1" applyFill="1" applyBorder="1" applyAlignment="1">
      <alignment vertical="center" wrapText="1"/>
    </xf>
    <xf numFmtId="3" fontId="21" fillId="11" borderId="15" xfId="0" applyNumberFormat="1" applyFont="1" applyFill="1" applyBorder="1" applyAlignment="1">
      <alignment horizontal="center" vertical="center" wrapText="1"/>
    </xf>
    <xf numFmtId="3" fontId="15" fillId="7" borderId="19" xfId="0" applyNumberFormat="1" applyFont="1" applyFill="1" applyBorder="1" applyAlignment="1">
      <alignment horizontal="center" vertical="center" wrapText="1"/>
    </xf>
    <xf numFmtId="3" fontId="21" fillId="11" borderId="19" xfId="0" applyNumberFormat="1" applyFont="1" applyFill="1" applyBorder="1" applyAlignment="1">
      <alignment horizontal="center" vertical="center" wrapText="1"/>
    </xf>
    <xf numFmtId="9" fontId="10" fillId="6" borderId="4" xfId="4" applyNumberFormat="1" applyFont="1" applyFill="1" applyBorder="1" applyAlignment="1">
      <alignment horizontal="center" vertical="center" wrapText="1"/>
    </xf>
    <xf numFmtId="10" fontId="10" fillId="6" borderId="28" xfId="4" applyNumberFormat="1" applyFont="1" applyFill="1" applyBorder="1" applyAlignment="1">
      <alignment horizontal="center" vertical="center" wrapText="1"/>
    </xf>
    <xf numFmtId="10" fontId="10" fillId="6" borderId="4" xfId="4" applyNumberFormat="1" applyFont="1" applyFill="1" applyBorder="1" applyAlignment="1">
      <alignment horizontal="center" vertical="center" wrapText="1"/>
    </xf>
    <xf numFmtId="10" fontId="10" fillId="12" borderId="28" xfId="4" applyNumberFormat="1" applyFont="1" applyFill="1" applyBorder="1" applyAlignment="1">
      <alignment horizontal="center" vertical="center" wrapText="1"/>
    </xf>
    <xf numFmtId="10" fontId="10" fillId="12" borderId="4" xfId="4" applyNumberFormat="1" applyFont="1" applyFill="1" applyBorder="1" applyAlignment="1">
      <alignment horizontal="center" vertical="center" wrapText="1"/>
    </xf>
    <xf numFmtId="9" fontId="10" fillId="12" borderId="28" xfId="4" applyNumberFormat="1" applyFont="1" applyFill="1" applyBorder="1" applyAlignment="1">
      <alignment horizontal="center" vertical="center" wrapText="1"/>
    </xf>
    <xf numFmtId="164" fontId="15" fillId="8" borderId="4" xfId="0" applyNumberFormat="1" applyFont="1" applyFill="1" applyBorder="1" applyAlignment="1">
      <alignment horizontal="center" vertical="center" wrapText="1"/>
    </xf>
    <xf numFmtId="3" fontId="16" fillId="0" borderId="27" xfId="0" applyNumberFormat="1" applyFont="1" applyFill="1" applyBorder="1" applyAlignment="1">
      <alignment vertical="center" wrapText="1"/>
    </xf>
    <xf numFmtId="0" fontId="17" fillId="14" borderId="10" xfId="4" applyFont="1" applyFill="1" applyBorder="1" applyAlignment="1">
      <alignment horizontal="justify" vertical="top" wrapText="1"/>
    </xf>
    <xf numFmtId="3" fontId="15" fillId="7" borderId="9" xfId="0" applyNumberFormat="1" applyFont="1" applyFill="1" applyBorder="1" applyAlignment="1">
      <alignment horizontal="center" vertical="center" wrapText="1"/>
    </xf>
    <xf numFmtId="3" fontId="10" fillId="0" borderId="35" xfId="0" applyNumberFormat="1" applyFont="1" applyFill="1" applyBorder="1" applyAlignment="1">
      <alignment vertical="center" wrapText="1"/>
    </xf>
    <xf numFmtId="0" fontId="17" fillId="3" borderId="16" xfId="4" applyFont="1" applyFill="1" applyBorder="1" applyAlignment="1">
      <alignment horizontal="justify" vertical="top" wrapText="1"/>
    </xf>
    <xf numFmtId="10" fontId="15" fillId="6" borderId="15" xfId="0" applyNumberFormat="1" applyFont="1" applyFill="1" applyBorder="1" applyAlignment="1">
      <alignment horizontal="center" vertical="center" wrapText="1"/>
    </xf>
    <xf numFmtId="1" fontId="15" fillId="6" borderId="15" xfId="2" applyNumberFormat="1" applyFont="1" applyFill="1" applyBorder="1" applyAlignment="1">
      <alignment horizontal="center" vertical="center" wrapText="1"/>
    </xf>
    <xf numFmtId="1" fontId="15" fillId="7" borderId="15" xfId="2" applyNumberFormat="1" applyFont="1" applyFill="1" applyBorder="1" applyAlignment="1">
      <alignment horizontal="center" vertical="center" wrapText="1"/>
    </xf>
    <xf numFmtId="1" fontId="15" fillId="8" borderId="15" xfId="2" applyNumberFormat="1" applyFont="1" applyFill="1" applyBorder="1" applyAlignment="1">
      <alignment horizontal="center" vertical="center" wrapText="1"/>
    </xf>
    <xf numFmtId="3" fontId="10" fillId="0" borderId="7" xfId="0" applyNumberFormat="1" applyFont="1" applyFill="1" applyBorder="1" applyAlignment="1">
      <alignment vertical="center" wrapText="1"/>
    </xf>
    <xf numFmtId="3" fontId="18" fillId="8" borderId="19" xfId="0" applyNumberFormat="1" applyFont="1" applyFill="1" applyBorder="1" applyAlignment="1">
      <alignment vertical="center" wrapText="1"/>
    </xf>
    <xf numFmtId="3" fontId="19" fillId="0" borderId="19" xfId="0" applyNumberFormat="1" applyFont="1" applyFill="1" applyBorder="1" applyAlignment="1">
      <alignment vertical="center" wrapText="1"/>
    </xf>
    <xf numFmtId="3" fontId="19" fillId="0" borderId="17" xfId="0" applyNumberFormat="1" applyFont="1" applyFill="1" applyBorder="1" applyAlignment="1">
      <alignment vertical="center" wrapText="1"/>
    </xf>
    <xf numFmtId="10" fontId="10" fillId="6" borderId="1" xfId="0" applyNumberFormat="1" applyFont="1" applyFill="1" applyBorder="1" applyAlignment="1">
      <alignment horizontal="center" vertical="center" wrapText="1"/>
    </xf>
    <xf numFmtId="10" fontId="10" fillId="6" borderId="28" xfId="0" applyNumberFormat="1" applyFont="1" applyFill="1" applyBorder="1" applyAlignment="1">
      <alignment horizontal="center" vertical="center" wrapText="1"/>
    </xf>
    <xf numFmtId="10" fontId="10" fillId="11" borderId="1" xfId="0" applyNumberFormat="1" applyFont="1" applyFill="1" applyBorder="1" applyAlignment="1">
      <alignment horizontal="center" vertical="center" wrapText="1"/>
    </xf>
    <xf numFmtId="164" fontId="10" fillId="8" borderId="28" xfId="0" applyNumberFormat="1" applyFont="1" applyFill="1" applyBorder="1" applyAlignment="1">
      <alignment horizontal="center" vertical="top" wrapText="1"/>
    </xf>
    <xf numFmtId="4" fontId="5" fillId="0" borderId="1" xfId="0" applyNumberFormat="1" applyFont="1" applyFill="1" applyBorder="1" applyAlignment="1">
      <alignment horizontal="center" vertical="center" wrapText="1"/>
    </xf>
    <xf numFmtId="4" fontId="10" fillId="0" borderId="28" xfId="0" applyNumberFormat="1" applyFont="1" applyFill="1" applyBorder="1" applyAlignment="1">
      <alignment horizontal="center" vertical="center" wrapText="1"/>
    </xf>
    <xf numFmtId="9" fontId="10" fillId="0" borderId="1" xfId="2" applyFont="1" applyFill="1" applyBorder="1" applyAlignment="1">
      <alignment horizontal="center" vertical="center" wrapText="1"/>
    </xf>
    <xf numFmtId="9" fontId="10" fillId="0" borderId="37" xfId="2" applyFont="1" applyFill="1" applyBorder="1" applyAlignment="1">
      <alignment horizontal="center" vertical="center" wrapText="1"/>
    </xf>
    <xf numFmtId="3" fontId="10" fillId="0" borderId="28" xfId="0" applyNumberFormat="1" applyFont="1" applyFill="1" applyBorder="1" applyAlignment="1">
      <alignment vertical="center" wrapText="1"/>
    </xf>
    <xf numFmtId="10" fontId="10" fillId="6" borderId="30" xfId="0" applyNumberFormat="1" applyFont="1" applyFill="1" applyBorder="1" applyAlignment="1">
      <alignment horizontal="center" vertical="center" wrapText="1"/>
    </xf>
    <xf numFmtId="10" fontId="10" fillId="12" borderId="30" xfId="0" applyNumberFormat="1" applyFont="1" applyFill="1" applyBorder="1" applyAlignment="1">
      <alignment horizontal="center" vertical="center" wrapText="1"/>
    </xf>
    <xf numFmtId="167" fontId="15" fillId="8" borderId="30" xfId="0" applyNumberFormat="1" applyFont="1" applyFill="1" applyBorder="1" applyAlignment="1">
      <alignment horizontal="center" vertical="center" wrapText="1"/>
    </xf>
    <xf numFmtId="4" fontId="16" fillId="0" borderId="28" xfId="5" applyNumberFormat="1" applyFont="1" applyFill="1" applyBorder="1" applyAlignment="1">
      <alignment horizontal="right" vertical="center" wrapText="1"/>
    </xf>
    <xf numFmtId="43" fontId="16" fillId="0" borderId="30" xfId="1" applyFont="1" applyFill="1" applyBorder="1" applyAlignment="1" applyProtection="1">
      <alignment horizontal="right" vertical="center" wrapText="1"/>
      <protection locked="0"/>
    </xf>
    <xf numFmtId="9" fontId="16" fillId="0" borderId="40" xfId="2" applyFont="1" applyFill="1" applyBorder="1" applyAlignment="1">
      <alignment horizontal="center" vertical="center" wrapText="1"/>
    </xf>
    <xf numFmtId="3" fontId="25" fillId="0" borderId="31" xfId="0" applyNumberFormat="1" applyFont="1" applyFill="1" applyBorder="1" applyAlignment="1">
      <alignment horizontal="justify" vertical="top" wrapText="1"/>
    </xf>
    <xf numFmtId="9" fontId="21" fillId="7" borderId="15" xfId="2" applyFont="1" applyFill="1" applyBorder="1" applyAlignment="1">
      <alignment horizontal="center" vertical="center" wrapText="1"/>
    </xf>
    <xf numFmtId="0" fontId="17" fillId="15" borderId="16" xfId="4" applyFont="1" applyFill="1" applyBorder="1" applyAlignment="1">
      <alignment horizontal="justify" vertical="top" wrapText="1"/>
    </xf>
    <xf numFmtId="0" fontId="17" fillId="15" borderId="20" xfId="4" applyFont="1" applyFill="1" applyBorder="1" applyAlignment="1">
      <alignment horizontal="justify" vertical="top" wrapText="1"/>
    </xf>
    <xf numFmtId="3" fontId="21" fillId="6" borderId="19" xfId="0" applyNumberFormat="1" applyFont="1" applyFill="1" applyBorder="1" applyAlignment="1">
      <alignment horizontal="center" vertical="center" wrapText="1"/>
    </xf>
    <xf numFmtId="0" fontId="21" fillId="6" borderId="19" xfId="0" applyNumberFormat="1" applyFont="1" applyFill="1" applyBorder="1" applyAlignment="1">
      <alignment horizontal="justify" vertical="top" wrapText="1"/>
    </xf>
    <xf numFmtId="0" fontId="29" fillId="0" borderId="8" xfId="0" applyFont="1" applyFill="1" applyBorder="1" applyAlignment="1">
      <alignment vertical="center" textRotation="90" wrapText="1"/>
    </xf>
    <xf numFmtId="9" fontId="16" fillId="0" borderId="4" xfId="2" applyNumberFormat="1" applyFont="1" applyFill="1" applyBorder="1" applyAlignment="1">
      <alignment horizontal="center" vertical="center" wrapText="1"/>
    </xf>
    <xf numFmtId="1" fontId="15" fillId="6" borderId="19" xfId="2" applyNumberFormat="1" applyFont="1" applyFill="1" applyBorder="1" applyAlignment="1">
      <alignment horizontal="center" vertical="center" wrapText="1"/>
    </xf>
    <xf numFmtId="1" fontId="15" fillId="7" borderId="19" xfId="2" applyNumberFormat="1" applyFont="1" applyFill="1" applyBorder="1" applyAlignment="1">
      <alignment horizontal="center" vertical="center" wrapText="1"/>
    </xf>
    <xf numFmtId="0" fontId="15" fillId="13" borderId="29" xfId="4" applyFont="1" applyFill="1" applyBorder="1" applyAlignment="1">
      <alignment horizontal="justify" vertical="top"/>
    </xf>
    <xf numFmtId="3" fontId="15" fillId="6" borderId="8" xfId="0" applyNumberFormat="1" applyFont="1" applyFill="1" applyBorder="1" applyAlignment="1">
      <alignment horizontal="center" vertical="center" wrapText="1"/>
    </xf>
    <xf numFmtId="9" fontId="15" fillId="6" borderId="8" xfId="2" applyFont="1" applyFill="1" applyBorder="1" applyAlignment="1">
      <alignment horizontal="center" vertical="center" wrapText="1"/>
    </xf>
    <xf numFmtId="9" fontId="15" fillId="7" borderId="8" xfId="2" applyFont="1" applyFill="1" applyBorder="1" applyAlignment="1">
      <alignment horizontal="center" vertical="center" wrapText="1"/>
    </xf>
    <xf numFmtId="3" fontId="31" fillId="6" borderId="8" xfId="0" applyNumberFormat="1" applyFont="1" applyFill="1" applyBorder="1" applyAlignment="1">
      <alignment horizontal="center" vertical="center" wrapText="1"/>
    </xf>
    <xf numFmtId="9" fontId="15" fillId="8" borderId="8" xfId="2" applyFont="1" applyFill="1" applyBorder="1" applyAlignment="1">
      <alignment horizontal="center" vertical="center" wrapText="1"/>
    </xf>
    <xf numFmtId="9" fontId="15" fillId="8" borderId="8" xfId="0" applyNumberFormat="1" applyFont="1" applyFill="1" applyBorder="1" applyAlignment="1">
      <alignment horizontal="center" vertical="center" wrapText="1"/>
    </xf>
    <xf numFmtId="3" fontId="15" fillId="8" borderId="8" xfId="0" applyNumberFormat="1" applyFont="1" applyFill="1" applyBorder="1" applyAlignment="1">
      <alignment horizontal="center" vertical="center" wrapText="1"/>
    </xf>
    <xf numFmtId="3" fontId="10" fillId="0" borderId="8" xfId="0" applyNumberFormat="1" applyFont="1" applyFill="1" applyBorder="1" applyAlignment="1">
      <alignment vertical="center" wrapText="1"/>
    </xf>
    <xf numFmtId="3" fontId="15" fillId="11" borderId="28" xfId="0" applyNumberFormat="1" applyFont="1" applyFill="1" applyBorder="1" applyAlignment="1">
      <alignment horizontal="center" vertical="center" wrapText="1"/>
    </xf>
    <xf numFmtId="9" fontId="10" fillId="11" borderId="24" xfId="0" applyNumberFormat="1" applyFont="1" applyFill="1" applyBorder="1" applyAlignment="1">
      <alignment horizontal="center" vertical="center" wrapText="1"/>
    </xf>
    <xf numFmtId="164" fontId="10" fillId="8" borderId="28" xfId="0" applyNumberFormat="1" applyFont="1" applyFill="1" applyBorder="1" applyAlignment="1">
      <alignment horizontal="center" vertical="center" wrapText="1"/>
    </xf>
    <xf numFmtId="3" fontId="10" fillId="0" borderId="23" xfId="0" applyNumberFormat="1" applyFont="1" applyFill="1" applyBorder="1" applyAlignment="1">
      <alignment vertical="center" wrapText="1"/>
    </xf>
    <xf numFmtId="3" fontId="15" fillId="0" borderId="28" xfId="0" applyNumberFormat="1" applyFont="1" applyFill="1" applyBorder="1" applyAlignment="1">
      <alignment vertical="center" wrapText="1"/>
    </xf>
    <xf numFmtId="0" fontId="17" fillId="13" borderId="29" xfId="4" applyFont="1" applyFill="1" applyBorder="1" applyAlignment="1">
      <alignment horizontal="justify" vertical="top" wrapText="1"/>
    </xf>
    <xf numFmtId="0" fontId="17" fillId="6" borderId="8" xfId="0" applyFont="1" applyFill="1" applyBorder="1" applyAlignment="1">
      <alignment horizontal="center" vertical="center" wrapText="1"/>
    </xf>
    <xf numFmtId="9" fontId="15" fillId="7" borderId="8" xfId="2" applyNumberFormat="1" applyFont="1" applyFill="1" applyBorder="1" applyAlignment="1">
      <alignment horizontal="center" vertical="center" wrapText="1"/>
    </xf>
    <xf numFmtId="9" fontId="15" fillId="6" borderId="8" xfId="2" applyNumberFormat="1"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8" borderId="8" xfId="0" applyFont="1" applyFill="1" applyBorder="1" applyAlignment="1">
      <alignment horizontal="center" vertical="center" wrapText="1"/>
    </xf>
    <xf numFmtId="3" fontId="5" fillId="0" borderId="8" xfId="0" applyNumberFormat="1" applyFont="1" applyFill="1" applyBorder="1" applyAlignment="1">
      <alignment vertical="center" wrapText="1"/>
    </xf>
    <xf numFmtId="168" fontId="15" fillId="8" borderId="28" xfId="0" applyNumberFormat="1" applyFont="1" applyFill="1" applyBorder="1" applyAlignment="1">
      <alignment horizontal="center" vertical="center" wrapText="1"/>
    </xf>
    <xf numFmtId="43" fontId="16" fillId="0" borderId="4" xfId="1" applyFont="1" applyFill="1" applyBorder="1" applyAlignment="1" applyProtection="1">
      <alignment wrapText="1"/>
      <protection locked="0"/>
    </xf>
    <xf numFmtId="9" fontId="16" fillId="0" borderId="4" xfId="2" applyFont="1" applyFill="1" applyBorder="1" applyAlignment="1">
      <alignment horizontal="center" vertical="center" wrapText="1"/>
    </xf>
    <xf numFmtId="3" fontId="16" fillId="0" borderId="28" xfId="0" applyNumberFormat="1" applyFont="1" applyFill="1" applyBorder="1" applyAlignment="1">
      <alignment vertical="center" wrapText="1"/>
    </xf>
    <xf numFmtId="0" fontId="18" fillId="6" borderId="8" xfId="0" applyFont="1" applyFill="1" applyBorder="1" applyAlignment="1">
      <alignment horizontal="center" vertical="center" wrapText="1"/>
    </xf>
    <xf numFmtId="0" fontId="18" fillId="8" borderId="8" xfId="0" applyFont="1" applyFill="1" applyBorder="1" applyAlignment="1">
      <alignment vertical="center" wrapText="1"/>
    </xf>
    <xf numFmtId="9" fontId="10" fillId="6" borderId="26" xfId="0" applyNumberFormat="1" applyFont="1" applyFill="1" applyBorder="1" applyAlignment="1">
      <alignment horizontal="center" vertical="center" wrapText="1"/>
    </xf>
    <xf numFmtId="168" fontId="10" fillId="8" borderId="1" xfId="0" applyNumberFormat="1" applyFont="1" applyFill="1" applyBorder="1" applyAlignment="1">
      <alignment horizontal="center" vertical="center" wrapText="1"/>
    </xf>
    <xf numFmtId="3" fontId="16" fillId="0" borderId="42" xfId="0" applyNumberFormat="1" applyFont="1" applyFill="1" applyBorder="1" applyAlignment="1">
      <alignment vertical="center" wrapText="1"/>
    </xf>
    <xf numFmtId="0" fontId="15" fillId="14" borderId="29" xfId="4" applyFont="1" applyFill="1" applyBorder="1" applyAlignment="1">
      <alignment horizontal="justify" vertical="top" wrapText="1"/>
    </xf>
    <xf numFmtId="0" fontId="15" fillId="11" borderId="8" xfId="0" applyFont="1" applyFill="1" applyBorder="1" applyAlignment="1">
      <alignment horizontal="center" vertical="center" wrapText="1"/>
    </xf>
    <xf numFmtId="9" fontId="15" fillId="11" borderId="8" xfId="2" applyFont="1" applyFill="1" applyBorder="1" applyAlignment="1">
      <alignment horizontal="center" vertical="center" wrapText="1"/>
    </xf>
    <xf numFmtId="9" fontId="15" fillId="17" borderId="8" xfId="2" applyFont="1" applyFill="1" applyBorder="1" applyAlignment="1">
      <alignment horizontal="center" vertical="center" wrapText="1"/>
    </xf>
    <xf numFmtId="0" fontId="15" fillId="8" borderId="8" xfId="0" applyFont="1" applyFill="1" applyBorder="1" applyAlignment="1">
      <alignment vertical="center" wrapText="1"/>
    </xf>
    <xf numFmtId="0" fontId="15" fillId="3" borderId="8" xfId="0" applyNumberFormat="1" applyFont="1" applyFill="1" applyBorder="1" applyAlignment="1">
      <alignment horizontal="justify" vertical="top" wrapText="1"/>
    </xf>
    <xf numFmtId="0" fontId="15" fillId="6" borderId="8" xfId="0" applyNumberFormat="1" applyFont="1" applyFill="1" applyBorder="1" applyAlignment="1">
      <alignment horizontal="center" vertical="center" wrapText="1"/>
    </xf>
    <xf numFmtId="9" fontId="15" fillId="6" borderId="8" xfId="0" applyNumberFormat="1" applyFont="1" applyFill="1" applyBorder="1" applyAlignment="1">
      <alignment horizontal="center" vertical="center" wrapText="1"/>
    </xf>
    <xf numFmtId="1" fontId="15" fillId="6" borderId="8"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0" fontId="10" fillId="3" borderId="6" xfId="0" applyFont="1" applyFill="1" applyBorder="1" applyAlignment="1">
      <alignment vertical="center" wrapText="1"/>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9" fontId="10" fillId="11" borderId="4" xfId="0" applyNumberFormat="1" applyFont="1" applyFill="1" applyBorder="1" applyAlignment="1">
      <alignment horizontal="center" vertical="center" wrapText="1"/>
    </xf>
    <xf numFmtId="0" fontId="10" fillId="11" borderId="4" xfId="0" applyFont="1" applyFill="1" applyBorder="1" applyAlignment="1">
      <alignment vertical="center" wrapText="1"/>
    </xf>
    <xf numFmtId="3" fontId="15" fillId="11" borderId="4" xfId="0" applyNumberFormat="1" applyFont="1" applyFill="1" applyBorder="1" applyAlignment="1">
      <alignment horizontal="center" vertical="center" wrapText="1"/>
    </xf>
    <xf numFmtId="164" fontId="10" fillId="8" borderId="4" xfId="0" applyNumberFormat="1" applyFont="1" applyFill="1" applyBorder="1" applyAlignment="1">
      <alignment horizontal="center" vertical="center" wrapText="1"/>
    </xf>
    <xf numFmtId="4" fontId="5" fillId="0" borderId="28" xfId="0" applyNumberFormat="1" applyFont="1" applyFill="1" applyBorder="1" applyAlignment="1">
      <alignment vertical="center" wrapText="1"/>
    </xf>
    <xf numFmtId="4" fontId="5" fillId="0" borderId="4" xfId="0" applyNumberFormat="1" applyFont="1" applyFill="1" applyBorder="1" applyAlignment="1">
      <alignment vertical="center" wrapText="1"/>
    </xf>
    <xf numFmtId="4" fontId="5" fillId="0" borderId="4" xfId="0" applyNumberFormat="1" applyFont="1" applyFill="1" applyBorder="1" applyAlignment="1">
      <alignment horizontal="right" vertical="center" wrapText="1"/>
    </xf>
    <xf numFmtId="0" fontId="10" fillId="0" borderId="19" xfId="0" applyFont="1" applyFill="1" applyBorder="1" applyAlignment="1">
      <alignment vertical="center" textRotation="90" wrapText="1"/>
    </xf>
    <xf numFmtId="9" fontId="10" fillId="6" borderId="35" xfId="0" applyNumberFormat="1" applyFont="1" applyFill="1" applyBorder="1" applyAlignment="1">
      <alignment horizontal="center" vertical="center" wrapText="1"/>
    </xf>
    <xf numFmtId="0" fontId="10" fillId="6" borderId="9" xfId="0" applyFont="1" applyFill="1" applyBorder="1" applyAlignment="1">
      <alignment vertical="center" wrapText="1"/>
    </xf>
    <xf numFmtId="0" fontId="10" fillId="8" borderId="9" xfId="0" applyFont="1" applyFill="1" applyBorder="1" applyAlignment="1">
      <alignment vertical="center" wrapText="1"/>
    </xf>
    <xf numFmtId="9" fontId="10" fillId="8" borderId="9" xfId="0" applyNumberFormat="1" applyFont="1" applyFill="1" applyBorder="1" applyAlignment="1">
      <alignment horizontal="center" vertical="center" wrapText="1"/>
    </xf>
    <xf numFmtId="164" fontId="15" fillId="8" borderId="9" xfId="0" applyNumberFormat="1" applyFont="1" applyFill="1" applyBorder="1" applyAlignment="1">
      <alignment horizontal="center" vertical="center" wrapText="1"/>
    </xf>
    <xf numFmtId="4" fontId="16" fillId="0" borderId="9" xfId="0" applyNumberFormat="1" applyFont="1" applyFill="1" applyBorder="1" applyAlignment="1">
      <alignment vertical="center" wrapText="1"/>
    </xf>
    <xf numFmtId="43" fontId="16" fillId="0" borderId="9" xfId="1" applyFont="1" applyFill="1" applyBorder="1" applyAlignment="1" applyProtection="1">
      <alignment vertical="center" wrapText="1"/>
      <protection locked="0"/>
    </xf>
    <xf numFmtId="9" fontId="16" fillId="0" borderId="9" xfId="2" applyFont="1" applyFill="1" applyBorder="1" applyAlignment="1">
      <alignment horizontal="center" vertical="center" wrapText="1"/>
    </xf>
    <xf numFmtId="4" fontId="16" fillId="0" borderId="9" xfId="0" applyNumberFormat="1" applyFont="1" applyFill="1" applyBorder="1" applyAlignment="1">
      <alignment horizontal="right" vertical="center" wrapText="1"/>
    </xf>
    <xf numFmtId="3" fontId="16" fillId="0" borderId="34" xfId="0" applyNumberFormat="1" applyFont="1" applyFill="1" applyBorder="1" applyAlignment="1">
      <alignment vertical="center" wrapText="1"/>
    </xf>
    <xf numFmtId="0" fontId="10" fillId="0" borderId="8" xfId="0" applyFont="1" applyFill="1" applyBorder="1" applyAlignment="1">
      <alignment vertical="center" textRotation="90" wrapText="1"/>
    </xf>
    <xf numFmtId="0" fontId="17" fillId="6" borderId="8" xfId="0" applyNumberFormat="1" applyFont="1" applyFill="1" applyBorder="1" applyAlignment="1">
      <alignment horizontal="center" vertical="center" wrapText="1"/>
    </xf>
    <xf numFmtId="9" fontId="15" fillId="18" borderId="9" xfId="2" applyFont="1" applyFill="1" applyBorder="1" applyAlignment="1">
      <alignment horizontal="center" vertical="center" wrapText="1"/>
    </xf>
    <xf numFmtId="0" fontId="21" fillId="6" borderId="15" xfId="0" applyFont="1" applyFill="1" applyBorder="1" applyAlignment="1">
      <alignment horizontal="center" vertical="center" wrapText="1"/>
    </xf>
    <xf numFmtId="9" fontId="10" fillId="0" borderId="15" xfId="2" applyFont="1" applyFill="1" applyBorder="1" applyAlignment="1">
      <alignment vertical="center" wrapText="1"/>
    </xf>
    <xf numFmtId="0" fontId="17" fillId="6" borderId="19" xfId="0" applyNumberFormat="1" applyFont="1" applyFill="1" applyBorder="1" applyAlignment="1">
      <alignment horizontal="center" vertical="center" wrapText="1"/>
    </xf>
    <xf numFmtId="9" fontId="15" fillId="18" borderId="15" xfId="2" applyFont="1" applyFill="1" applyBorder="1" applyAlignment="1">
      <alignment horizontal="center" vertical="center" wrapText="1"/>
    </xf>
    <xf numFmtId="9" fontId="15" fillId="18" borderId="15" xfId="0" applyNumberFormat="1" applyFont="1" applyFill="1" applyBorder="1" applyAlignment="1">
      <alignment horizontal="center" vertical="center" wrapText="1"/>
    </xf>
    <xf numFmtId="1" fontId="15" fillId="6" borderId="15" xfId="0" applyNumberFormat="1" applyFont="1" applyFill="1" applyBorder="1" applyAlignment="1">
      <alignment horizontal="center" vertical="center" wrapText="1"/>
    </xf>
    <xf numFmtId="3" fontId="33" fillId="0" borderId="15" xfId="0" applyNumberFormat="1" applyFont="1" applyFill="1" applyBorder="1" applyAlignment="1">
      <alignment vertical="center" wrapText="1"/>
    </xf>
    <xf numFmtId="3" fontId="34" fillId="0" borderId="14" xfId="0" applyNumberFormat="1" applyFont="1" applyFill="1" applyBorder="1" applyAlignment="1">
      <alignment vertical="center" wrapText="1"/>
    </xf>
    <xf numFmtId="1" fontId="15" fillId="6" borderId="19" xfId="0" applyNumberFormat="1" applyFont="1" applyFill="1" applyBorder="1" applyAlignment="1">
      <alignment horizontal="center" vertical="center" wrapText="1"/>
    </xf>
    <xf numFmtId="0" fontId="21" fillId="6" borderId="19" xfId="0" applyFont="1" applyFill="1" applyBorder="1" applyAlignment="1">
      <alignment horizontal="center" vertical="center" wrapText="1"/>
    </xf>
    <xf numFmtId="1" fontId="15" fillId="8" borderId="19" xfId="2" applyNumberFormat="1" applyFont="1" applyFill="1" applyBorder="1" applyAlignment="1">
      <alignment horizontal="center" vertical="center" wrapText="1"/>
    </xf>
    <xf numFmtId="9" fontId="15" fillId="8" borderId="19" xfId="0" applyNumberFormat="1" applyFont="1" applyFill="1" applyBorder="1" applyAlignment="1">
      <alignment horizontal="center" vertical="center" wrapText="1"/>
    </xf>
    <xf numFmtId="0" fontId="29" fillId="0" borderId="15" xfId="0" applyFont="1" applyFill="1" applyBorder="1" applyAlignment="1">
      <alignment vertical="center" textRotation="90" wrapText="1"/>
    </xf>
    <xf numFmtId="9" fontId="16" fillId="0" borderId="44" xfId="2" applyFont="1" applyFill="1" applyBorder="1" applyAlignment="1">
      <alignment horizontal="center" vertical="center" wrapText="1"/>
    </xf>
    <xf numFmtId="0" fontId="17" fillId="3" borderId="10" xfId="0" applyFont="1" applyFill="1" applyBorder="1" applyAlignment="1">
      <alignment horizontal="justify" vertical="top" wrapText="1"/>
    </xf>
    <xf numFmtId="169" fontId="15" fillId="11" borderId="9" xfId="0" applyNumberFormat="1" applyFont="1" applyFill="1" applyBorder="1" applyAlignment="1">
      <alignment horizontal="center" vertical="center" wrapText="1"/>
    </xf>
    <xf numFmtId="0" fontId="21" fillId="6" borderId="9" xfId="0" applyFont="1" applyFill="1" applyBorder="1" applyAlignment="1">
      <alignment horizontal="center" vertical="center" wrapText="1"/>
    </xf>
    <xf numFmtId="169" fontId="15" fillId="8" borderId="9" xfId="0" applyNumberFormat="1" applyFont="1" applyFill="1" applyBorder="1" applyAlignment="1">
      <alignment horizontal="center" vertical="center" wrapText="1"/>
    </xf>
    <xf numFmtId="170" fontId="15" fillId="8" borderId="9" xfId="0" applyNumberFormat="1" applyFont="1" applyFill="1" applyBorder="1" applyAlignment="1">
      <alignment vertical="center" wrapText="1"/>
    </xf>
    <xf numFmtId="3" fontId="15" fillId="0" borderId="34" xfId="0" applyNumberFormat="1" applyFont="1" applyFill="1" applyBorder="1" applyAlignment="1">
      <alignment vertical="center" wrapText="1"/>
    </xf>
    <xf numFmtId="0" fontId="17" fillId="3" borderId="16" xfId="0" applyFont="1" applyFill="1" applyBorder="1" applyAlignment="1">
      <alignment horizontal="justify" vertical="top" wrapText="1"/>
    </xf>
    <xf numFmtId="170" fontId="15" fillId="8" borderId="15" xfId="0" applyNumberFormat="1" applyFont="1" applyFill="1" applyBorder="1" applyAlignment="1">
      <alignment vertical="center" wrapText="1"/>
    </xf>
    <xf numFmtId="3" fontId="15" fillId="0" borderId="14" xfId="0" applyNumberFormat="1" applyFont="1" applyFill="1" applyBorder="1" applyAlignment="1">
      <alignment vertical="center" wrapText="1"/>
    </xf>
    <xf numFmtId="169" fontId="15" fillId="11" borderId="15" xfId="0" applyNumberFormat="1" applyFont="1" applyFill="1" applyBorder="1" applyAlignment="1">
      <alignment horizontal="center" vertical="center" wrapText="1"/>
    </xf>
    <xf numFmtId="1" fontId="15" fillId="7" borderId="15" xfId="0" applyNumberFormat="1" applyFont="1" applyFill="1" applyBorder="1" applyAlignment="1">
      <alignment horizontal="center" vertical="center" wrapText="1"/>
    </xf>
    <xf numFmtId="0" fontId="35" fillId="6" borderId="4" xfId="0" applyFont="1" applyFill="1" applyBorder="1" applyAlignment="1">
      <alignment horizontal="center" vertical="center" wrapText="1"/>
    </xf>
    <xf numFmtId="0" fontId="35" fillId="6" borderId="28" xfId="0" applyFont="1" applyFill="1" applyBorder="1" applyAlignment="1">
      <alignment horizontal="center" vertical="center" wrapText="1"/>
    </xf>
    <xf numFmtId="0" fontId="35" fillId="8" borderId="4" xfId="0" applyFont="1" applyFill="1" applyBorder="1" applyAlignment="1">
      <alignment horizontal="center" vertical="center" wrapText="1"/>
    </xf>
    <xf numFmtId="9" fontId="29" fillId="3" borderId="4" xfId="0" applyNumberFormat="1" applyFont="1" applyFill="1" applyBorder="1" applyAlignment="1">
      <alignment horizontal="center" vertical="center" wrapText="1"/>
    </xf>
    <xf numFmtId="171" fontId="15" fillId="8" borderId="28" xfId="0" applyNumberFormat="1" applyFont="1" applyFill="1" applyBorder="1" applyAlignment="1">
      <alignment horizontal="center" vertical="center" wrapText="1"/>
    </xf>
    <xf numFmtId="4" fontId="10" fillId="3" borderId="4" xfId="0" applyNumberFormat="1" applyFont="1" applyFill="1" applyBorder="1" applyAlignment="1">
      <alignment horizontal="center" vertical="center" wrapText="1"/>
    </xf>
    <xf numFmtId="4" fontId="10" fillId="3" borderId="28" xfId="0" applyNumberFormat="1" applyFont="1" applyFill="1" applyBorder="1" applyAlignment="1">
      <alignment horizontal="center" vertical="center" wrapText="1"/>
    </xf>
    <xf numFmtId="9" fontId="10" fillId="3" borderId="28" xfId="2" applyFont="1" applyFill="1" applyBorder="1" applyAlignment="1">
      <alignment horizontal="center" vertical="center" wrapText="1"/>
    </xf>
    <xf numFmtId="3" fontId="10" fillId="3" borderId="27" xfId="0" applyNumberFormat="1" applyFont="1" applyFill="1" applyBorder="1" applyAlignment="1">
      <alignment vertical="center" wrapText="1"/>
    </xf>
    <xf numFmtId="9" fontId="3" fillId="0" borderId="0" xfId="3" applyNumberFormat="1" applyFont="1" applyFill="1" applyAlignment="1">
      <alignment vertical="center" wrapText="1"/>
    </xf>
    <xf numFmtId="9" fontId="3" fillId="0" borderId="0" xfId="2" applyFont="1" applyFill="1" applyAlignment="1">
      <alignment vertical="center" wrapText="1"/>
    </xf>
    <xf numFmtId="0" fontId="2" fillId="2" borderId="0" xfId="3" applyFill="1"/>
    <xf numFmtId="0" fontId="2" fillId="0" borderId="0" xfId="3"/>
    <xf numFmtId="0" fontId="37" fillId="0" borderId="28" xfId="0" applyFont="1" applyBorder="1" applyProtection="1"/>
    <xf numFmtId="0" fontId="38" fillId="0" borderId="28" xfId="0" applyFont="1" applyBorder="1" applyAlignment="1" applyProtection="1">
      <alignment horizontal="center" vertical="top"/>
    </xf>
    <xf numFmtId="0" fontId="38" fillId="0" borderId="27" xfId="0" applyFont="1" applyBorder="1" applyAlignment="1" applyProtection="1">
      <alignment horizontal="center" vertical="top"/>
    </xf>
    <xf numFmtId="1" fontId="39" fillId="19" borderId="47" xfId="0" applyNumberFormat="1" applyFont="1" applyFill="1" applyBorder="1" applyAlignment="1" applyProtection="1">
      <alignment horizontal="left"/>
    </xf>
    <xf numFmtId="0" fontId="38" fillId="19" borderId="35" xfId="0" applyFont="1" applyFill="1" applyBorder="1" applyProtection="1"/>
    <xf numFmtId="172" fontId="38" fillId="19" borderId="9" xfId="1" applyNumberFormat="1" applyFont="1" applyFill="1" applyBorder="1" applyProtection="1"/>
    <xf numFmtId="9" fontId="2" fillId="0" borderId="0" xfId="2" applyFont="1"/>
    <xf numFmtId="1" fontId="39" fillId="20" borderId="48" xfId="0" applyNumberFormat="1" applyFont="1" applyFill="1" applyBorder="1" applyAlignment="1" applyProtection="1">
      <alignment horizontal="left"/>
    </xf>
    <xf numFmtId="0" fontId="38" fillId="20" borderId="7" xfId="0" applyFont="1" applyFill="1" applyBorder="1" applyProtection="1"/>
    <xf numFmtId="172" fontId="38" fillId="20" borderId="15" xfId="1" applyNumberFormat="1" applyFont="1" applyFill="1" applyBorder="1" applyProtection="1"/>
    <xf numFmtId="1" fontId="39" fillId="3" borderId="48" xfId="0" applyNumberFormat="1" applyFont="1" applyFill="1" applyBorder="1" applyAlignment="1" applyProtection="1">
      <alignment horizontal="left"/>
    </xf>
    <xf numFmtId="0" fontId="38" fillId="3" borderId="7" xfId="0" applyFont="1" applyFill="1" applyBorder="1" applyProtection="1"/>
    <xf numFmtId="172" fontId="38" fillId="3" borderId="15" xfId="1" applyNumberFormat="1" applyFont="1" applyFill="1" applyBorder="1" applyProtection="1"/>
    <xf numFmtId="0" fontId="40" fillId="0" borderId="0" xfId="0" applyFont="1" applyAlignment="1">
      <alignment horizontal="left"/>
    </xf>
    <xf numFmtId="0" fontId="41" fillId="0" borderId="7" xfId="0" applyFont="1" applyFill="1" applyBorder="1" applyProtection="1"/>
    <xf numFmtId="172" fontId="41" fillId="0" borderId="15" xfId="1" applyNumberFormat="1" applyFont="1" applyFill="1" applyBorder="1" applyProtection="1">
      <protection locked="0"/>
    </xf>
    <xf numFmtId="1" fontId="39" fillId="0" borderId="48" xfId="3" applyNumberFormat="1" applyFont="1" applyBorder="1" applyAlignment="1" applyProtection="1">
      <alignment horizontal="left"/>
    </xf>
    <xf numFmtId="43" fontId="2" fillId="0" borderId="0" xfId="1" applyFont="1"/>
    <xf numFmtId="1" fontId="39" fillId="3" borderId="48" xfId="3" applyNumberFormat="1" applyFont="1" applyFill="1" applyBorder="1" applyAlignment="1" applyProtection="1">
      <alignment horizontal="left"/>
    </xf>
    <xf numFmtId="0" fontId="42" fillId="0" borderId="7" xfId="0" applyFont="1" applyFill="1" applyBorder="1" applyProtection="1"/>
    <xf numFmtId="172" fontId="42" fillId="0" borderId="15" xfId="1" applyNumberFormat="1" applyFont="1" applyFill="1" applyBorder="1" applyProtection="1"/>
    <xf numFmtId="0" fontId="41" fillId="0" borderId="7" xfId="0" applyFont="1" applyFill="1" applyBorder="1" applyAlignment="1" applyProtection="1">
      <alignment wrapText="1"/>
    </xf>
    <xf numFmtId="172" fontId="42" fillId="0" borderId="15" xfId="1" applyNumberFormat="1" applyFont="1" applyFill="1" applyBorder="1" applyProtection="1">
      <protection locked="0"/>
    </xf>
    <xf numFmtId="43" fontId="2" fillId="0" borderId="0" xfId="3" applyNumberFormat="1"/>
    <xf numFmtId="172" fontId="41" fillId="0" borderId="15" xfId="1" applyNumberFormat="1" applyFont="1" applyFill="1" applyBorder="1" applyProtection="1"/>
    <xf numFmtId="173" fontId="2" fillId="0" borderId="0" xfId="2" applyNumberFormat="1" applyFont="1"/>
    <xf numFmtId="1" fontId="39" fillId="0" borderId="48" xfId="3" applyNumberFormat="1" applyFont="1" applyBorder="1" applyAlignment="1" applyProtection="1">
      <alignment horizontal="left" vertical="center"/>
    </xf>
    <xf numFmtId="0" fontId="41" fillId="0" borderId="7" xfId="0" applyFont="1" applyFill="1" applyBorder="1" applyAlignment="1" applyProtection="1">
      <alignment horizontal="justify" vertical="top" wrapText="1"/>
    </xf>
    <xf numFmtId="172" fontId="41" fillId="0" borderId="15" xfId="1" applyNumberFormat="1" applyFont="1" applyFill="1" applyBorder="1" applyAlignment="1" applyProtection="1">
      <alignment horizontal="center" vertical="center"/>
      <protection locked="0"/>
    </xf>
    <xf numFmtId="172" fontId="42" fillId="0" borderId="15" xfId="1" applyNumberFormat="1" applyFont="1" applyFill="1" applyBorder="1" applyAlignment="1" applyProtection="1">
      <alignment horizontal="right"/>
      <protection locked="0"/>
    </xf>
    <xf numFmtId="172" fontId="41" fillId="0" borderId="15" xfId="1" applyNumberFormat="1" applyFont="1" applyFill="1" applyBorder="1" applyAlignment="1" applyProtection="1">
      <alignment horizontal="right"/>
      <protection locked="0"/>
    </xf>
    <xf numFmtId="172" fontId="41" fillId="0" borderId="15" xfId="1" applyNumberFormat="1" applyFont="1" applyFill="1" applyBorder="1" applyAlignment="1" applyProtection="1">
      <alignment vertical="center"/>
      <protection locked="0"/>
    </xf>
    <xf numFmtId="1" fontId="39" fillId="16" borderId="48" xfId="3" applyNumberFormat="1" applyFont="1" applyFill="1" applyBorder="1" applyAlignment="1" applyProtection="1">
      <alignment horizontal="left"/>
    </xf>
    <xf numFmtId="0" fontId="38" fillId="16" borderId="7" xfId="0" applyFont="1" applyFill="1" applyBorder="1" applyProtection="1"/>
    <xf numFmtId="172" fontId="38" fillId="16" borderId="15" xfId="1" applyNumberFormat="1" applyFont="1" applyFill="1" applyBorder="1" applyProtection="1"/>
    <xf numFmtId="1" fontId="43" fillId="0" borderId="48" xfId="3" applyNumberFormat="1" applyFont="1" applyBorder="1" applyAlignment="1" applyProtection="1">
      <alignment horizontal="left"/>
    </xf>
    <xf numFmtId="0" fontId="38" fillId="0" borderId="7" xfId="0" applyFont="1" applyBorder="1" applyProtection="1"/>
    <xf numFmtId="172" fontId="38" fillId="0" borderId="15" xfId="1" applyNumberFormat="1" applyFont="1" applyBorder="1" applyProtection="1"/>
    <xf numFmtId="1" fontId="39" fillId="21" borderId="48" xfId="3" applyNumberFormat="1" applyFont="1" applyFill="1" applyBorder="1" applyAlignment="1" applyProtection="1">
      <alignment horizontal="left"/>
    </xf>
    <xf numFmtId="0" fontId="38" fillId="21" borderId="7" xfId="0" applyFont="1" applyFill="1" applyBorder="1" applyProtection="1"/>
    <xf numFmtId="172" fontId="38" fillId="21" borderId="15" xfId="1" applyNumberFormat="1" applyFont="1" applyFill="1" applyBorder="1" applyProtection="1">
      <protection locked="0"/>
    </xf>
    <xf numFmtId="1" fontId="37" fillId="0" borderId="48" xfId="3" applyNumberFormat="1" applyFont="1" applyBorder="1" applyAlignment="1" applyProtection="1">
      <alignment horizontal="left"/>
    </xf>
    <xf numFmtId="43" fontId="41" fillId="0" borderId="15" xfId="1" applyFont="1" applyFill="1" applyBorder="1" applyProtection="1">
      <protection locked="0"/>
    </xf>
    <xf numFmtId="43" fontId="2" fillId="0" borderId="0" xfId="1" applyFont="1" applyFill="1"/>
    <xf numFmtId="0" fontId="2" fillId="0" borderId="0" xfId="3" applyFill="1"/>
    <xf numFmtId="1" fontId="39" fillId="0" borderId="49" xfId="3" applyNumberFormat="1" applyFont="1" applyBorder="1" applyAlignment="1" applyProtection="1">
      <alignment horizontal="left"/>
    </xf>
    <xf numFmtId="0" fontId="41" fillId="0" borderId="17" xfId="0" applyFont="1" applyFill="1" applyBorder="1" applyProtection="1"/>
    <xf numFmtId="43" fontId="41" fillId="0" borderId="19" xfId="1" applyFont="1" applyFill="1" applyBorder="1" applyProtection="1">
      <protection locked="0"/>
    </xf>
    <xf numFmtId="1" fontId="39" fillId="22" borderId="50" xfId="3" applyNumberFormat="1" applyFont="1" applyFill="1" applyBorder="1" applyAlignment="1" applyProtection="1">
      <alignment horizontal="left"/>
    </xf>
    <xf numFmtId="0" fontId="38" fillId="22" borderId="44" xfId="0" applyFont="1" applyFill="1" applyBorder="1" applyProtection="1"/>
    <xf numFmtId="43" fontId="44" fillId="22" borderId="51" xfId="1" applyFont="1" applyFill="1" applyBorder="1" applyProtection="1">
      <protection locked="0"/>
    </xf>
    <xf numFmtId="43" fontId="44" fillId="22" borderId="52" xfId="1" applyFont="1" applyFill="1" applyBorder="1" applyProtection="1">
      <protection locked="0"/>
    </xf>
    <xf numFmtId="1" fontId="39" fillId="23" borderId="47" xfId="3" applyNumberFormat="1" applyFont="1" applyFill="1" applyBorder="1" applyAlignment="1" applyProtection="1">
      <alignment horizontal="left"/>
    </xf>
    <xf numFmtId="0" fontId="41" fillId="0" borderId="35" xfId="0" applyFont="1" applyFill="1" applyBorder="1" applyAlignment="1" applyProtection="1">
      <alignment wrapText="1"/>
    </xf>
    <xf numFmtId="43" fontId="41" fillId="0" borderId="9" xfId="1" applyFont="1" applyFill="1" applyBorder="1" applyProtection="1">
      <protection locked="0"/>
    </xf>
    <xf numFmtId="43" fontId="41" fillId="0" borderId="9" xfId="1" applyFont="1" applyFill="1" applyBorder="1" applyAlignment="1" applyProtection="1">
      <alignment horizontal="right" vertical="center"/>
      <protection locked="0"/>
    </xf>
    <xf numFmtId="1" fontId="39" fillId="23" borderId="48" xfId="3" applyNumberFormat="1" applyFont="1" applyFill="1" applyBorder="1" applyAlignment="1" applyProtection="1">
      <alignment horizontal="left"/>
    </xf>
    <xf numFmtId="43" fontId="41" fillId="0" borderId="15" xfId="1" applyFont="1" applyFill="1" applyBorder="1" applyAlignment="1" applyProtection="1">
      <alignment horizontal="right" vertical="center"/>
      <protection locked="0"/>
    </xf>
    <xf numFmtId="1" fontId="39" fillId="23" borderId="49" xfId="3" applyNumberFormat="1" applyFont="1" applyFill="1" applyBorder="1" applyAlignment="1" applyProtection="1">
      <alignment horizontal="left"/>
    </xf>
    <xf numFmtId="0" fontId="38" fillId="0" borderId="17" xfId="0" applyFont="1" applyBorder="1" applyProtection="1"/>
    <xf numFmtId="43" fontId="38" fillId="0" borderId="19" xfId="1" applyFont="1" applyBorder="1" applyProtection="1">
      <protection locked="0"/>
    </xf>
    <xf numFmtId="1" fontId="39" fillId="19" borderId="3" xfId="3" applyNumberFormat="1" applyFont="1" applyFill="1" applyBorder="1" applyAlignment="1" applyProtection="1">
      <alignment horizontal="left"/>
    </xf>
    <xf numFmtId="1" fontId="38" fillId="19" borderId="50" xfId="0" applyNumberFormat="1" applyFont="1" applyFill="1" applyBorder="1" applyProtection="1"/>
    <xf numFmtId="172" fontId="38" fillId="19" borderId="51" xfId="1" applyNumberFormat="1" applyFont="1" applyFill="1" applyBorder="1" applyProtection="1"/>
    <xf numFmtId="172" fontId="38" fillId="19" borderId="52" xfId="1" applyNumberFormat="1" applyFont="1" applyFill="1" applyBorder="1" applyProtection="1"/>
    <xf numFmtId="1" fontId="39" fillId="23" borderId="48" xfId="0" applyNumberFormat="1" applyFont="1" applyFill="1" applyBorder="1" applyAlignment="1" applyProtection="1">
      <alignment horizontal="left"/>
    </xf>
    <xf numFmtId="1" fontId="45" fillId="0" borderId="35" xfId="0" applyNumberFormat="1" applyFont="1" applyFill="1" applyBorder="1" applyProtection="1"/>
    <xf numFmtId="172" fontId="46" fillId="0" borderId="9" xfId="1" applyNumberFormat="1" applyFont="1" applyFill="1" applyBorder="1" applyProtection="1"/>
    <xf numFmtId="165" fontId="46" fillId="24" borderId="9" xfId="1" applyNumberFormat="1" applyFont="1" applyFill="1" applyBorder="1" applyProtection="1"/>
    <xf numFmtId="1" fontId="45" fillId="23" borderId="7" xfId="0" applyNumberFormat="1" applyFont="1" applyFill="1" applyBorder="1" applyProtection="1"/>
    <xf numFmtId="172" fontId="46" fillId="23" borderId="15" xfId="1" applyNumberFormat="1" applyFont="1" applyFill="1" applyBorder="1" applyProtection="1">
      <protection locked="0"/>
    </xf>
    <xf numFmtId="1" fontId="39" fillId="23" borderId="15" xfId="0" applyNumberFormat="1" applyFont="1" applyFill="1" applyBorder="1" applyAlignment="1" applyProtection="1">
      <alignment horizontal="left"/>
    </xf>
    <xf numFmtId="1" fontId="45" fillId="23" borderId="15" xfId="0" applyNumberFormat="1" applyFont="1" applyFill="1" applyBorder="1" applyProtection="1"/>
    <xf numFmtId="1" fontId="39" fillId="23" borderId="19" xfId="0" applyNumberFormat="1" applyFont="1" applyFill="1" applyBorder="1" applyAlignment="1" applyProtection="1">
      <alignment horizontal="left"/>
    </xf>
    <xf numFmtId="1" fontId="45" fillId="23" borderId="19" xfId="0" applyNumberFormat="1" applyFont="1" applyFill="1" applyBorder="1" applyProtection="1"/>
    <xf numFmtId="172" fontId="46" fillId="23" borderId="19" xfId="1" applyNumberFormat="1" applyFont="1" applyFill="1" applyBorder="1" applyProtection="1">
      <protection locked="0"/>
    </xf>
    <xf numFmtId="172" fontId="45" fillId="23" borderId="19" xfId="1" applyNumberFormat="1" applyFont="1" applyFill="1" applyBorder="1" applyProtection="1">
      <protection locked="0"/>
    </xf>
    <xf numFmtId="1" fontId="39" fillId="19" borderId="28" xfId="0" applyNumberFormat="1" applyFont="1" applyFill="1" applyBorder="1" applyAlignment="1" applyProtection="1">
      <alignment horizontal="left"/>
    </xf>
    <xf numFmtId="1" fontId="42" fillId="19" borderId="28" xfId="0" applyNumberFormat="1" applyFont="1" applyFill="1" applyBorder="1" applyProtection="1"/>
    <xf numFmtId="172" fontId="38" fillId="19" borderId="28" xfId="1" applyNumberFormat="1" applyFont="1" applyFill="1" applyBorder="1" applyProtection="1"/>
    <xf numFmtId="0" fontId="2" fillId="0" borderId="15" xfId="3" applyBorder="1"/>
    <xf numFmtId="174" fontId="2" fillId="0" borderId="15" xfId="3" applyNumberFormat="1" applyBorder="1"/>
    <xf numFmtId="9" fontId="2" fillId="0" borderId="15" xfId="3" applyNumberFormat="1" applyBorder="1"/>
    <xf numFmtId="1" fontId="2" fillId="0" borderId="15" xfId="3" applyNumberFormat="1" applyBorder="1"/>
    <xf numFmtId="174" fontId="2" fillId="0" borderId="15" xfId="1" applyNumberFormat="1" applyFont="1" applyBorder="1"/>
    <xf numFmtId="9" fontId="2" fillId="0" borderId="15" xfId="2" applyFont="1" applyBorder="1"/>
    <xf numFmtId="0" fontId="36" fillId="2" borderId="0" xfId="3" applyFont="1" applyFill="1" applyBorder="1" applyAlignment="1">
      <alignment horizontal="center" vertical="center"/>
    </xf>
    <xf numFmtId="0" fontId="2" fillId="0" borderId="0" xfId="3" applyAlignment="1">
      <alignment vertical="center"/>
    </xf>
    <xf numFmtId="43" fontId="2" fillId="0" borderId="0" xfId="1" applyFont="1" applyAlignment="1">
      <alignment vertical="center"/>
    </xf>
    <xf numFmtId="0" fontId="36" fillId="0" borderId="53" xfId="0" applyFont="1" applyBorder="1" applyProtection="1"/>
    <xf numFmtId="0" fontId="0" fillId="0" borderId="30" xfId="0" applyBorder="1" applyProtection="1"/>
    <xf numFmtId="17" fontId="0" fillId="0" borderId="30" xfId="0" applyNumberFormat="1" applyBorder="1" applyProtection="1"/>
    <xf numFmtId="0" fontId="36" fillId="0" borderId="30" xfId="0" applyFont="1" applyBorder="1" applyAlignment="1" applyProtection="1">
      <alignment horizontal="center"/>
    </xf>
    <xf numFmtId="0" fontId="0" fillId="0" borderId="54" xfId="0" applyBorder="1"/>
    <xf numFmtId="0" fontId="47" fillId="0" borderId="55" xfId="0" applyFont="1" applyBorder="1" applyAlignment="1" applyProtection="1">
      <alignment horizontal="center" vertical="center" wrapText="1"/>
    </xf>
    <xf numFmtId="0" fontId="47" fillId="0" borderId="56" xfId="0" applyFont="1" applyBorder="1" applyAlignment="1" applyProtection="1">
      <alignment horizontal="center" vertical="center" wrapText="1"/>
    </xf>
    <xf numFmtId="0" fontId="47" fillId="0" borderId="1" xfId="0" applyFont="1" applyBorder="1" applyAlignment="1" applyProtection="1">
      <alignment horizontal="center" vertical="center" wrapText="1"/>
    </xf>
    <xf numFmtId="0" fontId="47" fillId="0" borderId="28" xfId="0" applyFont="1" applyBorder="1" applyAlignment="1" applyProtection="1">
      <alignment horizontal="center" vertical="center" wrapText="1"/>
    </xf>
    <xf numFmtId="0" fontId="47" fillId="0" borderId="43" xfId="0" applyFont="1" applyBorder="1" applyAlignment="1" applyProtection="1">
      <alignment horizontal="center" vertical="center" wrapText="1"/>
    </xf>
    <xf numFmtId="0" fontId="42" fillId="0" borderId="3" xfId="0" applyFont="1" applyFill="1" applyBorder="1" applyProtection="1"/>
    <xf numFmtId="43" fontId="42" fillId="0" borderId="51" xfId="1" applyFont="1" applyFill="1" applyBorder="1" applyProtection="1">
      <protection locked="0"/>
    </xf>
    <xf numFmtId="172" fontId="42" fillId="0" borderId="51" xfId="1" applyNumberFormat="1" applyFont="1" applyFill="1" applyBorder="1" applyProtection="1">
      <protection locked="0"/>
    </xf>
    <xf numFmtId="172" fontId="42" fillId="0" borderId="57" xfId="1" applyNumberFormat="1" applyFont="1" applyFill="1" applyBorder="1" applyProtection="1">
      <protection locked="0"/>
    </xf>
    <xf numFmtId="43" fontId="42" fillId="0" borderId="51" xfId="1" applyFont="1" applyFill="1" applyBorder="1" applyProtection="1"/>
    <xf numFmtId="0" fontId="42" fillId="0" borderId="58" xfId="0" applyFont="1" applyFill="1" applyBorder="1" applyProtection="1"/>
    <xf numFmtId="43" fontId="42" fillId="0" borderId="9" xfId="1" applyFont="1" applyFill="1" applyBorder="1" applyProtection="1"/>
    <xf numFmtId="43" fontId="42" fillId="0" borderId="10" xfId="1" applyFont="1" applyFill="1" applyBorder="1" applyProtection="1"/>
    <xf numFmtId="43" fontId="42" fillId="0" borderId="59" xfId="1" applyFont="1" applyFill="1" applyBorder="1" applyProtection="1"/>
    <xf numFmtId="43" fontId="42" fillId="0" borderId="35" xfId="1" applyFont="1" applyFill="1" applyBorder="1" applyProtection="1"/>
    <xf numFmtId="43" fontId="42" fillId="0" borderId="60" xfId="1" applyFont="1" applyFill="1" applyBorder="1" applyProtection="1"/>
    <xf numFmtId="0" fontId="41" fillId="0" borderId="61" xfId="0" applyFont="1" applyFill="1" applyBorder="1" applyProtection="1"/>
    <xf numFmtId="43" fontId="15" fillId="0" borderId="15" xfId="1" applyFont="1" applyFill="1" applyBorder="1" applyProtection="1">
      <protection locked="0"/>
    </xf>
    <xf numFmtId="43" fontId="15" fillId="0" borderId="16" xfId="1" applyFont="1" applyFill="1" applyBorder="1" applyProtection="1">
      <protection locked="0"/>
    </xf>
    <xf numFmtId="43" fontId="15" fillId="0" borderId="61" xfId="1" applyFont="1" applyFill="1" applyBorder="1" applyProtection="1">
      <protection locked="0"/>
    </xf>
    <xf numFmtId="43" fontId="15" fillId="0" borderId="15" xfId="1" applyFont="1" applyFill="1" applyBorder="1" applyProtection="1"/>
    <xf numFmtId="0" fontId="41" fillId="0" borderId="12" xfId="0" applyFont="1" applyFill="1" applyBorder="1" applyProtection="1"/>
    <xf numFmtId="43" fontId="15" fillId="0" borderId="20" xfId="1" applyFont="1" applyFill="1" applyBorder="1" applyProtection="1">
      <protection locked="0"/>
    </xf>
    <xf numFmtId="43" fontId="15" fillId="0" borderId="19" xfId="1" applyFont="1" applyFill="1" applyBorder="1" applyProtection="1">
      <protection locked="0"/>
    </xf>
    <xf numFmtId="43" fontId="15" fillId="0" borderId="19" xfId="1" applyFont="1" applyFill="1" applyBorder="1" applyProtection="1"/>
    <xf numFmtId="0" fontId="42" fillId="0" borderId="15" xfId="0" applyFont="1" applyFill="1" applyBorder="1" applyProtection="1"/>
    <xf numFmtId="43" fontId="42" fillId="0" borderId="16" xfId="1" applyFont="1" applyFill="1" applyBorder="1" applyProtection="1"/>
    <xf numFmtId="43" fontId="42" fillId="0" borderId="58" xfId="1" applyFont="1" applyFill="1" applyBorder="1" applyProtection="1"/>
    <xf numFmtId="43" fontId="42" fillId="0" borderId="15" xfId="1" applyFont="1" applyFill="1" applyBorder="1" applyProtection="1"/>
    <xf numFmtId="0" fontId="42" fillId="0" borderId="61" xfId="0" applyFont="1" applyFill="1" applyBorder="1" applyProtection="1"/>
    <xf numFmtId="43" fontId="42" fillId="0" borderId="61" xfId="1" applyFont="1" applyFill="1" applyBorder="1" applyProtection="1"/>
    <xf numFmtId="43" fontId="42" fillId="0" borderId="62" xfId="1" applyFont="1" applyFill="1" applyBorder="1" applyProtection="1"/>
    <xf numFmtId="43" fontId="15" fillId="0" borderId="0" xfId="1" applyFont="1" applyFill="1"/>
    <xf numFmtId="43" fontId="15" fillId="0" borderId="16" xfId="1" applyFont="1" applyFill="1" applyBorder="1"/>
    <xf numFmtId="43" fontId="15" fillId="0" borderId="62" xfId="1" applyFont="1" applyFill="1" applyBorder="1" applyProtection="1"/>
    <xf numFmtId="43" fontId="41" fillId="0" borderId="16" xfId="1" applyFont="1" applyFill="1" applyBorder="1" applyProtection="1">
      <protection locked="0"/>
    </xf>
    <xf numFmtId="43" fontId="41" fillId="0" borderId="61" xfId="1" applyFont="1" applyFill="1" applyBorder="1" applyProtection="1">
      <protection locked="0"/>
    </xf>
    <xf numFmtId="43" fontId="41" fillId="0" borderId="62" xfId="1" applyFont="1" applyFill="1" applyBorder="1" applyProtection="1"/>
    <xf numFmtId="0" fontId="2" fillId="0" borderId="15" xfId="3" applyBorder="1" applyAlignment="1">
      <alignment vertical="center"/>
    </xf>
    <xf numFmtId="175" fontId="2" fillId="0" borderId="15" xfId="3" applyNumberFormat="1" applyBorder="1" applyAlignment="1">
      <alignment vertical="center"/>
    </xf>
    <xf numFmtId="43" fontId="41" fillId="0" borderId="15" xfId="1" applyFont="1" applyFill="1" applyBorder="1" applyProtection="1"/>
    <xf numFmtId="43" fontId="15" fillId="0" borderId="48" xfId="1" applyFont="1" applyFill="1" applyBorder="1" applyProtection="1">
      <protection locked="0"/>
    </xf>
    <xf numFmtId="0" fontId="42" fillId="0" borderId="39" xfId="0" applyFont="1" applyFill="1" applyBorder="1" applyProtection="1"/>
    <xf numFmtId="43" fontId="15" fillId="0" borderId="63" xfId="1" applyFont="1" applyFill="1" applyBorder="1" applyProtection="1">
      <protection locked="0"/>
    </xf>
    <xf numFmtId="43" fontId="15" fillId="0" borderId="64" xfId="1" applyFont="1" applyFill="1" applyBorder="1" applyProtection="1">
      <protection locked="0"/>
    </xf>
    <xf numFmtId="43" fontId="41" fillId="0" borderId="65" xfId="1" applyFont="1" applyFill="1" applyBorder="1" applyProtection="1">
      <protection locked="0"/>
    </xf>
    <xf numFmtId="43" fontId="41" fillId="0" borderId="66" xfId="1" applyFont="1" applyFill="1" applyBorder="1" applyProtection="1">
      <protection locked="0"/>
    </xf>
    <xf numFmtId="43" fontId="41" fillId="0" borderId="63" xfId="1" applyFont="1" applyFill="1" applyBorder="1" applyProtection="1">
      <protection locked="0"/>
    </xf>
    <xf numFmtId="43" fontId="15" fillId="0" borderId="63" xfId="1" applyFont="1" applyFill="1" applyBorder="1" applyProtection="1"/>
    <xf numFmtId="0" fontId="42" fillId="25" borderId="3" xfId="0" applyFont="1" applyFill="1" applyBorder="1" applyProtection="1"/>
    <xf numFmtId="43" fontId="42" fillId="25" borderId="51" xfId="1" applyFont="1" applyFill="1" applyBorder="1" applyProtection="1"/>
    <xf numFmtId="43" fontId="42" fillId="25" borderId="57" xfId="1" applyFont="1" applyFill="1" applyBorder="1" applyProtection="1"/>
    <xf numFmtId="43" fontId="42" fillId="25" borderId="28" xfId="1" applyFont="1" applyFill="1" applyBorder="1" applyProtection="1"/>
    <xf numFmtId="43" fontId="42" fillId="25" borderId="44" xfId="1" applyFont="1" applyFill="1" applyBorder="1" applyProtection="1"/>
    <xf numFmtId="9" fontId="2" fillId="0" borderId="0" xfId="2" applyFont="1" applyAlignment="1">
      <alignment vertical="center"/>
    </xf>
    <xf numFmtId="0" fontId="41" fillId="0" borderId="0" xfId="0" applyFont="1" applyBorder="1" applyProtection="1"/>
    <xf numFmtId="43" fontId="41" fillId="0" borderId="0" xfId="1" applyFont="1" applyBorder="1" applyProtection="1"/>
    <xf numFmtId="43" fontId="41" fillId="0" borderId="0" xfId="1" applyFont="1" applyFill="1" applyBorder="1" applyProtection="1"/>
    <xf numFmtId="43" fontId="42" fillId="25" borderId="51" xfId="1" applyFont="1" applyFill="1" applyBorder="1" applyAlignment="1" applyProtection="1"/>
    <xf numFmtId="43" fontId="42" fillId="25" borderId="28" xfId="1" applyFont="1" applyFill="1" applyBorder="1" applyAlignment="1" applyProtection="1"/>
    <xf numFmtId="43" fontId="42" fillId="25" borderId="44" xfId="1" applyFont="1" applyFill="1" applyBorder="1" applyAlignment="1" applyProtection="1"/>
    <xf numFmtId="0" fontId="42" fillId="26" borderId="36" xfId="0" applyFont="1" applyFill="1" applyBorder="1" applyAlignment="1" applyProtection="1">
      <alignment wrapText="1"/>
      <protection locked="0"/>
    </xf>
    <xf numFmtId="43" fontId="10" fillId="26" borderId="67" xfId="1" applyFont="1" applyFill="1" applyBorder="1" applyAlignment="1" applyProtection="1">
      <alignment wrapText="1"/>
      <protection locked="0"/>
    </xf>
    <xf numFmtId="43" fontId="10" fillId="26" borderId="68" xfId="1" applyFont="1" applyFill="1" applyBorder="1" applyAlignment="1" applyProtection="1">
      <alignment wrapText="1"/>
      <protection locked="0"/>
    </xf>
    <xf numFmtId="43" fontId="10" fillId="26" borderId="5" xfId="1" applyFont="1" applyFill="1" applyBorder="1" applyAlignment="1" applyProtection="1">
      <alignment wrapText="1"/>
      <protection locked="0"/>
    </xf>
    <xf numFmtId="43" fontId="10" fillId="26" borderId="33" xfId="1" applyFont="1" applyFill="1" applyBorder="1" applyAlignment="1" applyProtection="1">
      <alignment wrapText="1"/>
      <protection locked="0"/>
    </xf>
    <xf numFmtId="43" fontId="29" fillId="26" borderId="67" xfId="1" applyFont="1" applyFill="1" applyBorder="1" applyAlignment="1" applyProtection="1"/>
    <xf numFmtId="43" fontId="10" fillId="26" borderId="67" xfId="1" applyFont="1" applyFill="1" applyBorder="1" applyAlignment="1" applyProtection="1"/>
    <xf numFmtId="0" fontId="15" fillId="0" borderId="61" xfId="0" applyFont="1" applyFill="1" applyBorder="1" applyAlignment="1" applyProtection="1">
      <alignment horizontal="center" vertical="center" wrapText="1"/>
      <protection locked="0"/>
    </xf>
    <xf numFmtId="165" fontId="15" fillId="0" borderId="15" xfId="1" applyNumberFormat="1" applyFont="1" applyFill="1" applyBorder="1" applyAlignment="1" applyProtection="1">
      <alignment horizontal="right" vertical="center" wrapText="1"/>
      <protection locked="0"/>
    </xf>
    <xf numFmtId="165" fontId="15" fillId="0" borderId="8" xfId="1" applyNumberFormat="1" applyFont="1" applyFill="1" applyBorder="1" applyAlignment="1" applyProtection="1">
      <alignment horizontal="right" vertical="center" wrapText="1"/>
      <protection locked="0"/>
    </xf>
    <xf numFmtId="165" fontId="15" fillId="0" borderId="29" xfId="1" applyNumberFormat="1" applyFont="1" applyFill="1" applyBorder="1" applyAlignment="1" applyProtection="1">
      <alignment horizontal="right" vertical="center" wrapText="1"/>
      <protection locked="0"/>
    </xf>
    <xf numFmtId="43" fontId="15" fillId="0" borderId="69" xfId="1" applyFont="1" applyFill="1" applyBorder="1" applyAlignment="1" applyProtection="1">
      <alignment horizontal="right" vertical="center" wrapText="1"/>
      <protection locked="0"/>
    </xf>
    <xf numFmtId="43" fontId="15" fillId="0" borderId="15" xfId="1" applyFont="1" applyFill="1" applyBorder="1" applyAlignment="1" applyProtection="1">
      <alignment horizontal="right" vertical="center" wrapText="1"/>
      <protection locked="0"/>
    </xf>
    <xf numFmtId="43" fontId="15" fillId="0" borderId="8" xfId="1" applyFont="1" applyFill="1" applyBorder="1" applyAlignment="1" applyProtection="1">
      <alignment horizontal="right" vertical="center" wrapText="1"/>
      <protection locked="0"/>
    </xf>
    <xf numFmtId="43" fontId="31" fillId="0" borderId="15" xfId="1" applyFont="1" applyFill="1" applyBorder="1" applyAlignment="1" applyProtection="1">
      <alignment horizontal="right" vertical="center"/>
    </xf>
    <xf numFmtId="43" fontId="15" fillId="0" borderId="15" xfId="1" applyFont="1" applyFill="1" applyBorder="1" applyAlignment="1" applyProtection="1">
      <alignment horizontal="right" vertical="center"/>
    </xf>
    <xf numFmtId="0" fontId="15" fillId="0" borderId="61" xfId="0" applyFont="1" applyFill="1" applyBorder="1" applyAlignment="1" applyProtection="1">
      <alignment wrapText="1"/>
      <protection locked="0"/>
    </xf>
    <xf numFmtId="43" fontId="15" fillId="0" borderId="15" xfId="1" applyFont="1" applyFill="1" applyBorder="1" applyAlignment="1" applyProtection="1">
      <alignment wrapText="1"/>
      <protection locked="0"/>
    </xf>
    <xf numFmtId="4" fontId="15" fillId="0" borderId="15" xfId="0" applyNumberFormat="1" applyFont="1" applyFill="1" applyBorder="1"/>
    <xf numFmtId="43" fontId="15" fillId="0" borderId="16" xfId="1" applyFont="1" applyFill="1" applyBorder="1" applyAlignment="1" applyProtection="1">
      <alignment wrapText="1"/>
      <protection locked="0"/>
    </xf>
    <xf numFmtId="43" fontId="15" fillId="0" borderId="61" xfId="1" applyFont="1" applyFill="1" applyBorder="1" applyAlignment="1" applyProtection="1">
      <alignment wrapText="1"/>
      <protection locked="0"/>
    </xf>
    <xf numFmtId="0" fontId="15" fillId="0" borderId="61" xfId="0" applyFont="1" applyFill="1" applyBorder="1" applyAlignment="1" applyProtection="1">
      <protection locked="0"/>
    </xf>
    <xf numFmtId="0" fontId="42" fillId="26" borderId="61" xfId="0" applyFont="1" applyFill="1" applyBorder="1" applyAlignment="1" applyProtection="1">
      <alignment wrapText="1"/>
      <protection locked="0"/>
    </xf>
    <xf numFmtId="43" fontId="10" fillId="26" borderId="15" xfId="1" applyFont="1" applyFill="1" applyBorder="1" applyAlignment="1" applyProtection="1">
      <alignment wrapText="1"/>
      <protection locked="0"/>
    </xf>
    <xf numFmtId="43" fontId="10" fillId="26" borderId="16" xfId="1" applyFont="1" applyFill="1" applyBorder="1" applyAlignment="1" applyProtection="1">
      <alignment wrapText="1"/>
      <protection locked="0"/>
    </xf>
    <xf numFmtId="43" fontId="10" fillId="26" borderId="61" xfId="1" applyFont="1" applyFill="1" applyBorder="1" applyAlignment="1" applyProtection="1">
      <alignment wrapText="1"/>
      <protection locked="0"/>
    </xf>
    <xf numFmtId="43" fontId="29" fillId="26" borderId="15" xfId="1" applyFont="1" applyFill="1" applyBorder="1" applyAlignment="1" applyProtection="1"/>
    <xf numFmtId="43" fontId="10" fillId="26" borderId="15" xfId="1" applyFont="1" applyFill="1" applyBorder="1" applyAlignment="1" applyProtection="1"/>
    <xf numFmtId="43" fontId="15" fillId="0" borderId="16" xfId="1" applyFont="1" applyFill="1" applyBorder="1" applyAlignment="1" applyProtection="1">
      <alignment horizontal="center" vertical="center" wrapText="1"/>
      <protection locked="0"/>
    </xf>
    <xf numFmtId="43" fontId="15" fillId="0" borderId="15" xfId="1" applyFont="1" applyFill="1" applyBorder="1" applyAlignment="1" applyProtection="1">
      <alignment vertical="center" wrapText="1"/>
      <protection locked="0"/>
    </xf>
    <xf numFmtId="0" fontId="42" fillId="26" borderId="15" xfId="0" applyFont="1" applyFill="1" applyBorder="1" applyAlignment="1" applyProtection="1">
      <alignment wrapText="1"/>
      <protection locked="0"/>
    </xf>
    <xf numFmtId="43" fontId="10" fillId="26" borderId="19" xfId="1" applyFont="1" applyFill="1" applyBorder="1" applyAlignment="1" applyProtection="1">
      <alignment horizontal="center" vertical="center" wrapText="1"/>
      <protection locked="0"/>
    </xf>
    <xf numFmtId="43" fontId="10" fillId="26" borderId="15" xfId="1" applyFont="1" applyFill="1" applyBorder="1" applyAlignment="1" applyProtection="1">
      <alignment horizontal="center" vertical="center" wrapText="1"/>
      <protection locked="0"/>
    </xf>
    <xf numFmtId="43" fontId="10" fillId="26" borderId="16" xfId="1" applyFont="1" applyFill="1" applyBorder="1" applyAlignment="1" applyProtection="1">
      <alignment horizontal="center" vertical="center" wrapText="1"/>
      <protection locked="0"/>
    </xf>
    <xf numFmtId="43" fontId="29" fillId="26" borderId="15" xfId="1" applyFont="1" applyFill="1" applyBorder="1" applyAlignment="1" applyProtection="1">
      <alignment horizontal="center" vertical="center"/>
    </xf>
    <xf numFmtId="43" fontId="10" fillId="26" borderId="15" xfId="1" applyFont="1" applyFill="1" applyBorder="1" applyAlignment="1" applyProtection="1">
      <alignment horizontal="center" vertical="center"/>
    </xf>
    <xf numFmtId="0" fontId="15" fillId="0" borderId="15" xfId="0" applyFont="1" applyFill="1" applyBorder="1" applyAlignment="1" applyProtection="1">
      <alignment wrapText="1"/>
      <protection locked="0"/>
    </xf>
    <xf numFmtId="43" fontId="15" fillId="0" borderId="15" xfId="1" applyFont="1" applyFill="1" applyBorder="1" applyAlignment="1">
      <alignment horizontal="right" vertical="center"/>
    </xf>
    <xf numFmtId="43" fontId="15" fillId="0" borderId="16" xfId="1" applyFont="1" applyFill="1" applyBorder="1" applyAlignment="1" applyProtection="1">
      <alignment vertical="center" wrapText="1"/>
      <protection locked="0"/>
    </xf>
    <xf numFmtId="43" fontId="15" fillId="0" borderId="61" xfId="1" applyFont="1" applyFill="1" applyBorder="1" applyAlignment="1" applyProtection="1">
      <alignment vertical="center" wrapText="1"/>
      <protection locked="0"/>
    </xf>
    <xf numFmtId="43" fontId="31" fillId="0" borderId="15" xfId="1" applyFont="1" applyFill="1" applyBorder="1" applyAlignment="1" applyProtection="1">
      <alignment vertical="center"/>
    </xf>
    <xf numFmtId="43" fontId="15" fillId="0" borderId="15" xfId="1" applyFont="1" applyFill="1" applyBorder="1" applyAlignment="1" applyProtection="1">
      <alignment vertical="center"/>
    </xf>
    <xf numFmtId="0" fontId="15" fillId="0" borderId="15" xfId="0" applyFont="1" applyFill="1" applyBorder="1" applyAlignment="1" applyProtection="1">
      <alignment vertical="center" wrapText="1"/>
      <protection locked="0"/>
    </xf>
    <xf numFmtId="43" fontId="48" fillId="0" borderId="15" xfId="1" applyFont="1" applyFill="1" applyBorder="1" applyAlignment="1">
      <alignment horizontal="right" vertical="center"/>
    </xf>
    <xf numFmtId="43" fontId="15" fillId="0" borderId="19" xfId="1" applyFont="1" applyFill="1" applyBorder="1" applyAlignment="1" applyProtection="1">
      <alignment wrapText="1"/>
      <protection locked="0"/>
    </xf>
    <xf numFmtId="43" fontId="10" fillId="26" borderId="19" xfId="1" applyFont="1" applyFill="1" applyBorder="1" applyAlignment="1" applyProtection="1">
      <alignment wrapText="1"/>
      <protection locked="0"/>
    </xf>
    <xf numFmtId="0" fontId="15" fillId="0" borderId="19" xfId="0" applyFont="1" applyFill="1" applyBorder="1" applyAlignment="1" applyProtection="1">
      <alignment wrapText="1"/>
      <protection locked="0"/>
    </xf>
    <xf numFmtId="43" fontId="15" fillId="0" borderId="8" xfId="1" applyFont="1" applyFill="1" applyBorder="1" applyAlignment="1" applyProtection="1">
      <alignment wrapText="1"/>
      <protection locked="0"/>
    </xf>
    <xf numFmtId="43" fontId="15" fillId="0" borderId="29" xfId="1" applyFont="1" applyFill="1" applyBorder="1" applyAlignment="1" applyProtection="1">
      <alignment wrapText="1"/>
      <protection locked="0"/>
    </xf>
    <xf numFmtId="43" fontId="15" fillId="0" borderId="69" xfId="1" applyFont="1" applyFill="1" applyBorder="1" applyAlignment="1" applyProtection="1">
      <alignment wrapText="1"/>
      <protection locked="0"/>
    </xf>
    <xf numFmtId="43" fontId="31" fillId="0" borderId="15" xfId="1" applyFont="1" applyFill="1" applyBorder="1" applyAlignment="1" applyProtection="1"/>
    <xf numFmtId="43" fontId="15" fillId="0" borderId="15" xfId="1" applyFont="1" applyFill="1" applyBorder="1" applyAlignment="1" applyProtection="1"/>
    <xf numFmtId="0" fontId="15" fillId="0" borderId="15" xfId="0" applyFont="1" applyFill="1" applyBorder="1" applyAlignment="1" applyProtection="1">
      <alignment horizontal="justify" wrapText="1"/>
      <protection locked="0"/>
    </xf>
    <xf numFmtId="0" fontId="42" fillId="26" borderId="9" xfId="0" applyFont="1" applyFill="1" applyBorder="1" applyAlignment="1" applyProtection="1">
      <alignment wrapText="1"/>
      <protection locked="0"/>
    </xf>
    <xf numFmtId="43" fontId="10" fillId="26" borderId="8" xfId="1" applyFont="1" applyFill="1" applyBorder="1" applyAlignment="1" applyProtection="1">
      <alignment wrapText="1"/>
      <protection locked="0"/>
    </xf>
    <xf numFmtId="43" fontId="10" fillId="26" borderId="48" xfId="1" applyFont="1" applyFill="1" applyBorder="1" applyAlignment="1" applyProtection="1">
      <alignment wrapText="1"/>
      <protection locked="0"/>
    </xf>
    <xf numFmtId="43" fontId="29" fillId="26" borderId="9" xfId="1" applyFont="1" applyFill="1" applyBorder="1" applyAlignment="1" applyProtection="1"/>
    <xf numFmtId="43" fontId="10" fillId="26" borderId="9" xfId="1" applyFont="1" applyFill="1" applyBorder="1" applyAlignment="1" applyProtection="1"/>
    <xf numFmtId="43" fontId="15" fillId="0" borderId="58" xfId="1" applyFont="1" applyFill="1" applyBorder="1" applyAlignment="1" applyProtection="1">
      <alignment wrapText="1"/>
      <protection locked="0"/>
    </xf>
    <xf numFmtId="43" fontId="15" fillId="0" borderId="9" xfId="1" applyFont="1" applyFill="1" applyBorder="1" applyAlignment="1" applyProtection="1">
      <alignment wrapText="1"/>
      <protection locked="0"/>
    </xf>
    <xf numFmtId="43" fontId="31" fillId="0" borderId="9" xfId="1" applyFont="1" applyFill="1" applyBorder="1" applyAlignment="1" applyProtection="1"/>
    <xf numFmtId="43" fontId="15" fillId="0" borderId="9" xfId="1" applyFont="1" applyFill="1" applyBorder="1" applyAlignment="1" applyProtection="1"/>
    <xf numFmtId="0" fontId="15" fillId="0" borderId="9" xfId="0" applyFont="1" applyFill="1" applyBorder="1" applyAlignment="1" applyProtection="1">
      <alignment horizontal="justify" wrapText="1"/>
      <protection locked="0"/>
    </xf>
    <xf numFmtId="43" fontId="15" fillId="0" borderId="10" xfId="1" applyFont="1" applyFill="1" applyBorder="1" applyAlignment="1" applyProtection="1">
      <alignment horizontal="center" vertical="center" wrapText="1"/>
      <protection locked="0"/>
    </xf>
    <xf numFmtId="43" fontId="46" fillId="0" borderId="15" xfId="1" applyFont="1" applyFill="1" applyBorder="1" applyAlignment="1" applyProtection="1"/>
    <xf numFmtId="43" fontId="46" fillId="0" borderId="16" xfId="1" applyFont="1" applyFill="1" applyBorder="1" applyAlignment="1" applyProtection="1"/>
    <xf numFmtId="43" fontId="46" fillId="0" borderId="61" xfId="1" applyFont="1" applyFill="1" applyBorder="1" applyProtection="1"/>
    <xf numFmtId="43" fontId="46" fillId="0" borderId="15" xfId="1" applyFont="1" applyFill="1" applyBorder="1" applyProtection="1"/>
    <xf numFmtId="43" fontId="15" fillId="0" borderId="60" xfId="1" applyFont="1" applyFill="1" applyBorder="1" applyAlignment="1" applyProtection="1"/>
    <xf numFmtId="43" fontId="42" fillId="0" borderId="52" xfId="1" applyFont="1" applyFill="1" applyBorder="1" applyAlignment="1" applyProtection="1"/>
    <xf numFmtId="0" fontId="42" fillId="0" borderId="19" xfId="0" applyFont="1" applyFill="1" applyBorder="1" applyProtection="1"/>
    <xf numFmtId="43" fontId="46" fillId="0" borderId="19" xfId="1" applyFont="1" applyFill="1" applyBorder="1" applyAlignment="1" applyProtection="1"/>
    <xf numFmtId="43" fontId="46" fillId="0" borderId="20" xfId="1" applyFont="1" applyFill="1" applyBorder="1" applyAlignment="1" applyProtection="1"/>
    <xf numFmtId="43" fontId="46" fillId="0" borderId="49" xfId="1" applyFont="1" applyFill="1" applyBorder="1" applyProtection="1"/>
    <xf numFmtId="43" fontId="46" fillId="0" borderId="19" xfId="1" applyFont="1" applyFill="1" applyBorder="1" applyProtection="1"/>
    <xf numFmtId="43" fontId="15" fillId="0" borderId="70" xfId="1" applyFont="1" applyFill="1" applyBorder="1" applyAlignment="1" applyProtection="1"/>
    <xf numFmtId="0" fontId="49" fillId="0" borderId="3" xfId="0" applyFont="1" applyBorder="1" applyProtection="1"/>
    <xf numFmtId="43" fontId="49" fillId="0" borderId="4" xfId="1" applyFont="1" applyBorder="1" applyProtection="1"/>
    <xf numFmtId="43" fontId="49" fillId="0" borderId="28" xfId="1" applyFont="1" applyBorder="1" applyProtection="1"/>
    <xf numFmtId="43" fontId="49" fillId="0" borderId="27" xfId="1" applyFont="1" applyBorder="1" applyProtection="1"/>
    <xf numFmtId="43" fontId="41" fillId="0" borderId="4" xfId="1" applyFont="1" applyFill="1" applyBorder="1" applyAlignment="1" applyProtection="1"/>
    <xf numFmtId="43" fontId="15" fillId="0" borderId="52" xfId="1" applyFont="1" applyFill="1" applyBorder="1" applyAlignment="1" applyProtection="1"/>
    <xf numFmtId="0" fontId="42" fillId="25" borderId="53" xfId="0" applyFont="1" applyFill="1" applyBorder="1" applyProtection="1"/>
    <xf numFmtId="43" fontId="42" fillId="25" borderId="71" xfId="1" applyFont="1" applyFill="1" applyBorder="1" applyProtection="1"/>
    <xf numFmtId="43" fontId="42" fillId="25" borderId="45" xfId="1" applyFont="1" applyFill="1" applyBorder="1" applyProtection="1"/>
    <xf numFmtId="43" fontId="42" fillId="25" borderId="54" xfId="1" applyFont="1" applyFill="1" applyBorder="1" applyProtection="1"/>
    <xf numFmtId="175" fontId="2" fillId="0" borderId="15" xfId="1" applyNumberFormat="1" applyFont="1" applyBorder="1" applyAlignment="1">
      <alignment vertical="center"/>
    </xf>
    <xf numFmtId="0" fontId="51" fillId="3" borderId="18" xfId="3" applyFont="1" applyFill="1" applyBorder="1" applyAlignment="1">
      <alignment horizontal="center" vertical="center" wrapText="1"/>
    </xf>
    <xf numFmtId="0" fontId="51" fillId="0" borderId="11" xfId="3" applyFont="1" applyBorder="1" applyAlignment="1">
      <alignment vertical="center" wrapText="1"/>
    </xf>
    <xf numFmtId="0" fontId="21" fillId="0" borderId="11" xfId="3" applyFont="1" applyBorder="1" applyAlignment="1">
      <alignment horizontal="justify" vertical="center" wrapText="1"/>
    </xf>
    <xf numFmtId="0" fontId="51" fillId="0" borderId="21" xfId="3" applyFont="1" applyBorder="1" applyAlignment="1">
      <alignment vertical="center" wrapText="1"/>
    </xf>
    <xf numFmtId="0" fontId="21" fillId="0" borderId="21" xfId="3" applyFont="1" applyBorder="1" applyAlignment="1">
      <alignment horizontal="justify" vertical="center" wrapText="1"/>
    </xf>
    <xf numFmtId="0" fontId="3" fillId="2" borderId="0" xfId="3" applyFont="1" applyFill="1" applyAlignment="1">
      <alignment horizontal="center" vertical="center" wrapText="1"/>
    </xf>
    <xf numFmtId="0" fontId="3" fillId="0" borderId="1" xfId="3" applyFont="1" applyFill="1" applyBorder="1" applyAlignment="1">
      <alignment horizontal="left" vertical="top" wrapText="1"/>
    </xf>
    <xf numFmtId="0" fontId="4" fillId="0"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textRotation="90" wrapText="1"/>
    </xf>
    <xf numFmtId="0" fontId="5" fillId="3" borderId="11" xfId="0" applyFont="1" applyFill="1" applyBorder="1" applyAlignment="1">
      <alignment horizontal="center" vertical="center" textRotation="90" wrapText="1"/>
    </xf>
    <xf numFmtId="0" fontId="5" fillId="3" borderId="21" xfId="0" applyFont="1" applyFill="1" applyBorder="1" applyAlignment="1">
      <alignment horizontal="center" vertical="center" textRotation="90"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3" borderId="8" xfId="0" applyFont="1" applyFill="1" applyBorder="1" applyAlignment="1">
      <alignment horizontal="center" vertical="center" textRotation="90" wrapText="1"/>
    </xf>
    <xf numFmtId="0" fontId="0" fillId="0" borderId="8" xfId="0" applyBorder="1"/>
    <xf numFmtId="0" fontId="0" fillId="0" borderId="9" xfId="0" applyBorder="1"/>
    <xf numFmtId="0" fontId="5" fillId="3" borderId="9" xfId="0" applyFont="1" applyFill="1" applyBorder="1" applyAlignment="1">
      <alignment horizontal="center" vertical="center" textRotation="90" wrapText="1"/>
    </xf>
    <xf numFmtId="0" fontId="5" fillId="3" borderId="15" xfId="0" applyFont="1" applyFill="1" applyBorder="1" applyAlignment="1">
      <alignment horizontal="center" vertical="center" textRotation="90" wrapText="1"/>
    </xf>
    <xf numFmtId="0" fontId="5" fillId="3" borderId="19" xfId="0" applyFont="1" applyFill="1" applyBorder="1" applyAlignment="1">
      <alignment horizontal="center" vertical="center" textRotation="90" wrapText="1"/>
    </xf>
    <xf numFmtId="0" fontId="5" fillId="3" borderId="10" xfId="0" applyFont="1" applyFill="1" applyBorder="1" applyAlignment="1">
      <alignment horizontal="center" vertical="center" textRotation="90" wrapText="1"/>
    </xf>
    <xf numFmtId="0" fontId="5" fillId="3" borderId="16" xfId="0" applyFont="1" applyFill="1" applyBorder="1" applyAlignment="1">
      <alignment horizontal="center" vertical="center" textRotation="90" wrapText="1"/>
    </xf>
    <xf numFmtId="0" fontId="5" fillId="3" borderId="20" xfId="0" applyFont="1" applyFill="1" applyBorder="1" applyAlignment="1">
      <alignment horizontal="center" vertical="center" textRotation="90"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9" fillId="3" borderId="4" xfId="0" applyFont="1" applyFill="1" applyBorder="1" applyAlignment="1">
      <alignment horizontal="center" vertical="top" wrapText="1"/>
    </xf>
    <xf numFmtId="0" fontId="9" fillId="3" borderId="1" xfId="0" applyFont="1" applyFill="1" applyBorder="1" applyAlignment="1">
      <alignment horizontal="center" vertical="top" wrapText="1"/>
    </xf>
    <xf numFmtId="0" fontId="6" fillId="5" borderId="3" xfId="0" applyFont="1" applyFill="1" applyBorder="1" applyAlignment="1">
      <alignment horizontal="center" vertical="top" wrapText="1"/>
    </xf>
    <xf numFmtId="0" fontId="6" fillId="5" borderId="4" xfId="0" applyFont="1" applyFill="1" applyBorder="1" applyAlignment="1">
      <alignment horizontal="center" vertical="top" wrapText="1"/>
    </xf>
    <xf numFmtId="0" fontId="10" fillId="3" borderId="18" xfId="0" applyFont="1" applyFill="1" applyBorder="1" applyAlignment="1">
      <alignment horizontal="center" vertical="top" wrapText="1"/>
    </xf>
    <xf numFmtId="0" fontId="10" fillId="3" borderId="25" xfId="0" applyFont="1" applyFill="1" applyBorder="1" applyAlignment="1">
      <alignment horizontal="center" vertical="top" wrapText="1"/>
    </xf>
    <xf numFmtId="0" fontId="11" fillId="0" borderId="19" xfId="0" applyFont="1" applyFill="1" applyBorder="1" applyAlignment="1">
      <alignment horizontal="center" vertical="center" textRotation="90" wrapText="1"/>
    </xf>
    <xf numFmtId="0" fontId="11" fillId="0" borderId="8" xfId="0" applyFont="1" applyFill="1" applyBorder="1" applyAlignment="1">
      <alignment horizontal="center" vertical="center" textRotation="90" wrapText="1"/>
    </xf>
    <xf numFmtId="0" fontId="11" fillId="0" borderId="9" xfId="0" applyFont="1" applyFill="1" applyBorder="1" applyAlignment="1">
      <alignment horizontal="center" vertical="center" textRotation="90" wrapText="1"/>
    </xf>
    <xf numFmtId="0" fontId="3" fillId="0" borderId="15" xfId="0" applyFont="1" applyFill="1" applyBorder="1" applyAlignment="1">
      <alignment horizontal="center" vertical="center" wrapText="1"/>
    </xf>
    <xf numFmtId="0" fontId="11" fillId="0" borderId="20" xfId="0" applyFont="1" applyFill="1" applyBorder="1" applyAlignment="1">
      <alignment horizontal="center" vertical="center" textRotation="90"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27" xfId="0" applyFont="1" applyFill="1" applyBorder="1" applyAlignment="1">
      <alignment horizontal="left" vertical="top" wrapText="1"/>
    </xf>
    <xf numFmtId="0" fontId="12" fillId="0" borderId="19"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12" fillId="0" borderId="9" xfId="0" applyFont="1" applyBorder="1" applyAlignment="1">
      <alignment horizontal="center" vertical="center" textRotation="90" wrapText="1"/>
    </xf>
    <xf numFmtId="0" fontId="13" fillId="0" borderId="20" xfId="0" applyFont="1" applyFill="1" applyBorder="1" applyAlignment="1">
      <alignment horizontal="center" vertical="center" textRotation="90" wrapText="1"/>
    </xf>
    <xf numFmtId="0" fontId="13" fillId="0" borderId="29" xfId="0" applyFont="1" applyFill="1" applyBorder="1" applyAlignment="1">
      <alignment horizontal="center" vertical="center" textRotation="90" wrapText="1"/>
    </xf>
    <xf numFmtId="0" fontId="13" fillId="0" borderId="8" xfId="0" applyFont="1" applyFill="1" applyBorder="1" applyAlignment="1">
      <alignment horizontal="center" vertical="center" textRotation="90" wrapText="1"/>
    </xf>
    <xf numFmtId="0" fontId="13" fillId="0" borderId="9" xfId="0" applyFont="1" applyFill="1" applyBorder="1" applyAlignment="1">
      <alignment horizontal="center" vertical="center" textRotation="90"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3" xfId="0" applyFont="1" applyFill="1" applyBorder="1" applyAlignment="1">
      <alignment horizontal="justify" vertical="top" wrapText="1"/>
    </xf>
    <xf numFmtId="0" fontId="10" fillId="3" borderId="4" xfId="0" applyFont="1" applyFill="1" applyBorder="1" applyAlignment="1">
      <alignment horizontal="justify" vertical="top" wrapText="1"/>
    </xf>
    <xf numFmtId="0" fontId="10" fillId="3" borderId="27" xfId="0" applyFont="1" applyFill="1" applyBorder="1" applyAlignment="1">
      <alignment horizontal="justify" vertical="top" wrapText="1"/>
    </xf>
    <xf numFmtId="0" fontId="27" fillId="0" borderId="19" xfId="0" applyFont="1" applyFill="1" applyBorder="1" applyAlignment="1">
      <alignment horizontal="center" vertical="center" textRotation="90" wrapText="1"/>
    </xf>
    <xf numFmtId="0" fontId="27" fillId="0" borderId="8" xfId="0" applyFont="1" applyFill="1" applyBorder="1" applyAlignment="1">
      <alignment horizontal="center" vertical="center" textRotation="90" wrapText="1"/>
    </xf>
    <xf numFmtId="0" fontId="27" fillId="0" borderId="9" xfId="0" applyFont="1" applyFill="1" applyBorder="1" applyAlignment="1">
      <alignment horizontal="center" vertical="center" textRotation="90" wrapText="1"/>
    </xf>
    <xf numFmtId="0" fontId="10" fillId="3" borderId="3" xfId="4" applyFont="1" applyFill="1" applyBorder="1" applyAlignment="1">
      <alignment horizontal="justify" vertical="top" wrapText="1"/>
    </xf>
    <xf numFmtId="0" fontId="10" fillId="3" borderId="4" xfId="4" applyFont="1" applyFill="1" applyBorder="1" applyAlignment="1">
      <alignment horizontal="justify" vertical="top" wrapText="1"/>
    </xf>
    <xf numFmtId="0" fontId="10" fillId="3" borderId="27" xfId="4" applyFont="1" applyFill="1" applyBorder="1" applyAlignment="1">
      <alignment horizontal="justify" vertical="top" wrapText="1"/>
    </xf>
    <xf numFmtId="0" fontId="12" fillId="0" borderId="15" xfId="0" applyFont="1" applyFill="1" applyBorder="1" applyAlignment="1">
      <alignment horizontal="center" vertical="center" textRotation="90" wrapText="1"/>
    </xf>
    <xf numFmtId="0" fontId="12" fillId="0" borderId="7" xfId="0" applyFont="1" applyFill="1" applyBorder="1" applyAlignment="1">
      <alignment horizontal="center" vertical="center" textRotation="90" wrapText="1"/>
    </xf>
    <xf numFmtId="0" fontId="27" fillId="0" borderId="13" xfId="0" applyFont="1" applyFill="1" applyBorder="1" applyAlignment="1">
      <alignment horizontal="center" vertical="center" textRotation="90" wrapText="1"/>
    </xf>
    <xf numFmtId="0" fontId="27" fillId="0" borderId="0" xfId="0" applyFont="1" applyFill="1" applyBorder="1" applyAlignment="1">
      <alignment horizontal="center" vertical="center" textRotation="90" wrapText="1"/>
    </xf>
    <xf numFmtId="0" fontId="27" fillId="0" borderId="22" xfId="0" applyFont="1" applyFill="1" applyBorder="1" applyAlignment="1">
      <alignment horizontal="center" vertical="center" textRotation="90" wrapText="1"/>
    </xf>
    <xf numFmtId="0" fontId="27" fillId="0" borderId="35" xfId="0" applyFont="1" applyFill="1" applyBorder="1" applyAlignment="1">
      <alignment horizontal="center" vertical="center" textRotation="90" wrapText="1"/>
    </xf>
    <xf numFmtId="0" fontId="10" fillId="3" borderId="36" xfId="0" applyFont="1" applyFill="1" applyBorder="1" applyAlignment="1">
      <alignment horizontal="left" vertical="top" wrapText="1"/>
    </xf>
    <xf numFmtId="0" fontId="10" fillId="3" borderId="37" xfId="0" applyFont="1" applyFill="1" applyBorder="1" applyAlignment="1">
      <alignment horizontal="left" vertical="top" wrapText="1"/>
    </xf>
    <xf numFmtId="0" fontId="10" fillId="3" borderId="38" xfId="0" applyFont="1" applyFill="1" applyBorder="1" applyAlignment="1">
      <alignment horizontal="left" vertical="top" wrapText="1"/>
    </xf>
    <xf numFmtId="0" fontId="10" fillId="3" borderId="39" xfId="0" applyFont="1" applyFill="1" applyBorder="1" applyAlignment="1">
      <alignment horizontal="justify" vertical="top" wrapText="1"/>
    </xf>
    <xf numFmtId="0" fontId="10" fillId="3" borderId="40" xfId="0" applyFont="1" applyFill="1" applyBorder="1" applyAlignment="1">
      <alignment horizontal="justify" vertical="top" wrapText="1"/>
    </xf>
    <xf numFmtId="0" fontId="10" fillId="3" borderId="41" xfId="0" applyFont="1" applyFill="1" applyBorder="1" applyAlignment="1">
      <alignment horizontal="justify" vertical="top" wrapText="1"/>
    </xf>
    <xf numFmtId="0" fontId="29" fillId="0" borderId="29" xfId="0" applyFont="1" applyFill="1" applyBorder="1" applyAlignment="1">
      <alignment horizontal="center" vertical="center" textRotation="90" wrapText="1"/>
    </xf>
    <xf numFmtId="0" fontId="29" fillId="0" borderId="10" xfId="0" applyFont="1" applyFill="1" applyBorder="1" applyAlignment="1">
      <alignment horizontal="center" vertical="center" textRotation="90" wrapText="1"/>
    </xf>
    <xf numFmtId="0" fontId="30" fillId="0" borderId="15" xfId="0" applyFont="1" applyFill="1" applyBorder="1" applyAlignment="1">
      <alignment horizontal="center" vertical="center" textRotation="90" wrapText="1"/>
    </xf>
    <xf numFmtId="0" fontId="10" fillId="0" borderId="15" xfId="0" applyFont="1" applyFill="1" applyBorder="1" applyAlignment="1">
      <alignment horizontal="center" vertical="center"/>
    </xf>
    <xf numFmtId="0" fontId="10" fillId="0" borderId="20" xfId="0" applyFont="1" applyFill="1" applyBorder="1" applyAlignment="1">
      <alignment horizontal="center" vertical="center" textRotation="90" wrapText="1"/>
    </xf>
    <xf numFmtId="0" fontId="10" fillId="0" borderId="29" xfId="0" applyFont="1" applyFill="1" applyBorder="1" applyAlignment="1">
      <alignment horizontal="center" vertical="center" textRotation="90" wrapText="1"/>
    </xf>
    <xf numFmtId="0" fontId="10" fillId="0" borderId="8" xfId="0" applyFont="1" applyFill="1" applyBorder="1" applyAlignment="1">
      <alignment horizontal="center" vertical="center" textRotation="90" wrapText="1"/>
    </xf>
    <xf numFmtId="0" fontId="10" fillId="0" borderId="9" xfId="0" applyFont="1" applyFill="1" applyBorder="1" applyAlignment="1">
      <alignment horizontal="center" vertical="center" textRotation="90" wrapText="1"/>
    </xf>
    <xf numFmtId="0" fontId="10" fillId="3" borderId="24" xfId="0" applyFont="1" applyFill="1" applyBorder="1" applyAlignment="1">
      <alignment horizontal="left" vertical="center"/>
    </xf>
    <xf numFmtId="0" fontId="10" fillId="3" borderId="1" xfId="0" applyFont="1" applyFill="1" applyBorder="1" applyAlignment="1">
      <alignment horizontal="left" vertical="center"/>
    </xf>
    <xf numFmtId="0" fontId="35" fillId="3" borderId="3"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5" fillId="3" borderId="27" xfId="0" applyFont="1" applyFill="1" applyBorder="1" applyAlignment="1">
      <alignment horizontal="left" vertical="center" wrapText="1"/>
    </xf>
    <xf numFmtId="0" fontId="10" fillId="0" borderId="17" xfId="0" applyFont="1" applyFill="1" applyBorder="1" applyAlignment="1">
      <alignment horizontal="center" vertical="center" textRotation="90" wrapText="1"/>
    </xf>
    <xf numFmtId="0" fontId="10" fillId="0" borderId="22" xfId="0" applyFont="1" applyFill="1" applyBorder="1" applyAlignment="1">
      <alignment horizontal="center" vertical="center" textRotation="90" wrapText="1"/>
    </xf>
    <xf numFmtId="0" fontId="10" fillId="3" borderId="16" xfId="0" applyFont="1" applyFill="1" applyBorder="1" applyAlignment="1">
      <alignment horizontal="center" vertical="center" textRotation="90" wrapText="1"/>
    </xf>
    <xf numFmtId="0" fontId="10" fillId="3" borderId="15" xfId="0" applyFont="1" applyFill="1" applyBorder="1" applyAlignment="1">
      <alignment horizontal="center" vertical="center" textRotation="90" wrapText="1"/>
    </xf>
    <xf numFmtId="0" fontId="10" fillId="3" borderId="19" xfId="0" applyFont="1" applyFill="1" applyBorder="1" applyAlignment="1">
      <alignment horizontal="center" vertical="center" textRotation="90" wrapText="1"/>
    </xf>
    <xf numFmtId="0" fontId="10" fillId="3" borderId="24"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33" xfId="0" applyFont="1" applyFill="1" applyBorder="1" applyAlignment="1">
      <alignment horizontal="left" vertical="center" wrapText="1"/>
    </xf>
    <xf numFmtId="2" fontId="10" fillId="16" borderId="3" xfId="0" applyNumberFormat="1" applyFont="1" applyFill="1" applyBorder="1" applyAlignment="1">
      <alignment horizontal="left" vertical="top" wrapText="1"/>
    </xf>
    <xf numFmtId="2" fontId="10" fillId="16" borderId="4" xfId="0" applyNumberFormat="1" applyFont="1" applyFill="1" applyBorder="1" applyAlignment="1">
      <alignment horizontal="left" vertical="top" wrapText="1"/>
    </xf>
    <xf numFmtId="2" fontId="10" fillId="16" borderId="27" xfId="0" applyNumberFormat="1" applyFont="1" applyFill="1" applyBorder="1" applyAlignment="1">
      <alignment horizontal="left" vertical="top" wrapText="1"/>
    </xf>
    <xf numFmtId="0" fontId="10" fillId="3" borderId="3" xfId="0" applyNumberFormat="1" applyFont="1" applyFill="1" applyBorder="1" applyAlignment="1">
      <alignment horizontal="left" vertical="top" wrapText="1"/>
    </xf>
    <xf numFmtId="0" fontId="10" fillId="3" borderId="4" xfId="0" applyNumberFormat="1" applyFont="1" applyFill="1" applyBorder="1" applyAlignment="1">
      <alignment horizontal="left" vertical="top" wrapText="1"/>
    </xf>
    <xf numFmtId="0" fontId="32" fillId="0" borderId="29" xfId="0" applyFont="1" applyBorder="1" applyAlignment="1">
      <alignment horizontal="center" vertical="center" textRotation="90" wrapText="1"/>
    </xf>
    <xf numFmtId="0" fontId="32" fillId="0" borderId="45" xfId="0" applyFont="1" applyBorder="1" applyAlignment="1">
      <alignment horizontal="center" vertical="center" textRotation="90" wrapText="1"/>
    </xf>
    <xf numFmtId="0" fontId="32" fillId="0" borderId="0" xfId="0" applyFont="1" applyBorder="1" applyAlignment="1">
      <alignment horizontal="center" vertical="center" textRotation="90" wrapText="1"/>
    </xf>
    <xf numFmtId="0" fontId="32" fillId="0" borderId="22" xfId="0" applyFont="1" applyBorder="1" applyAlignment="1">
      <alignment horizontal="center" vertical="center" textRotation="90" wrapText="1"/>
    </xf>
    <xf numFmtId="0" fontId="32" fillId="0" borderId="46" xfId="0" applyFont="1" applyBorder="1" applyAlignment="1">
      <alignment horizontal="center" vertical="center" textRotation="90" wrapText="1"/>
    </xf>
    <xf numFmtId="0" fontId="12" fillId="0" borderId="13" xfId="0" applyFont="1" applyFill="1" applyBorder="1" applyAlignment="1">
      <alignment horizontal="center" vertical="center" textRotation="90" wrapText="1"/>
    </xf>
    <xf numFmtId="0" fontId="12" fillId="0" borderId="0" xfId="0" applyFont="1" applyFill="1" applyBorder="1" applyAlignment="1">
      <alignment horizontal="center" vertical="center" textRotation="90" wrapText="1"/>
    </xf>
    <xf numFmtId="0" fontId="12" fillId="0" borderId="30" xfId="0" applyFont="1" applyFill="1" applyBorder="1" applyAlignment="1">
      <alignment horizontal="center" vertical="center" textRotation="90" wrapText="1"/>
    </xf>
    <xf numFmtId="0" fontId="13" fillId="0" borderId="19" xfId="0" applyFont="1" applyFill="1" applyBorder="1" applyAlignment="1">
      <alignment horizontal="center" vertical="center" textRotation="90" wrapText="1"/>
    </xf>
    <xf numFmtId="0" fontId="14" fillId="0" borderId="19" xfId="0" applyFont="1" applyBorder="1" applyAlignment="1">
      <alignment horizontal="center" vertical="center" textRotation="90" wrapText="1"/>
    </xf>
    <xf numFmtId="0" fontId="14" fillId="0" borderId="8"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14" fillId="0" borderId="26" xfId="0" applyFont="1" applyBorder="1" applyAlignment="1">
      <alignment horizontal="center" vertical="center" textRotation="90" wrapText="1"/>
    </xf>
    <xf numFmtId="0" fontId="14" fillId="0" borderId="29" xfId="0" applyFont="1" applyBorder="1" applyAlignment="1">
      <alignment horizontal="center" vertical="center" textRotation="90" wrapText="1"/>
    </xf>
    <xf numFmtId="0" fontId="50" fillId="2" borderId="30" xfId="3" applyFont="1" applyFill="1" applyBorder="1" applyAlignment="1">
      <alignment horizontal="center" vertical="center"/>
    </xf>
    <xf numFmtId="0" fontId="50" fillId="3" borderId="24" xfId="3" applyFont="1" applyFill="1" applyBorder="1" applyAlignment="1">
      <alignment horizontal="center" vertical="center" wrapText="1"/>
    </xf>
    <xf numFmtId="0" fontId="50" fillId="3" borderId="72" xfId="3" applyFont="1" applyFill="1" applyBorder="1" applyAlignment="1">
      <alignment horizontal="center" vertical="center" wrapText="1"/>
    </xf>
    <xf numFmtId="0" fontId="50" fillId="3" borderId="3" xfId="3" applyFont="1" applyFill="1" applyBorder="1" applyAlignment="1">
      <alignment horizontal="center" vertical="center" wrapText="1"/>
    </xf>
    <xf numFmtId="0" fontId="50" fillId="3" borderId="27" xfId="3" applyFont="1" applyFill="1" applyBorder="1" applyAlignment="1">
      <alignment horizontal="center" vertical="center" wrapText="1"/>
    </xf>
    <xf numFmtId="0" fontId="36" fillId="0" borderId="0" xfId="0" applyFont="1" applyAlignment="1">
      <alignment horizontal="center"/>
    </xf>
    <xf numFmtId="0" fontId="36" fillId="0" borderId="0" xfId="0" applyFont="1" applyBorder="1" applyAlignment="1" applyProtection="1">
      <alignment horizontal="center"/>
    </xf>
    <xf numFmtId="0" fontId="29" fillId="0" borderId="18" xfId="0" applyFont="1" applyBorder="1" applyAlignment="1" applyProtection="1">
      <alignment horizontal="center" vertical="center" wrapText="1"/>
    </xf>
    <xf numFmtId="0" fontId="29" fillId="0" borderId="25" xfId="0" applyFont="1" applyBorder="1" applyAlignment="1" applyProtection="1">
      <alignment horizontal="center" vertical="center" wrapText="1"/>
    </xf>
    <xf numFmtId="0" fontId="29" fillId="0" borderId="3" xfId="0" applyFont="1" applyBorder="1" applyAlignment="1" applyProtection="1">
      <alignment horizontal="center" vertical="top" wrapText="1"/>
    </xf>
    <xf numFmtId="0" fontId="29" fillId="0" borderId="4" xfId="0" applyFont="1" applyBorder="1" applyAlignment="1" applyProtection="1">
      <alignment horizontal="center" vertical="top" wrapText="1"/>
    </xf>
    <xf numFmtId="0" fontId="29" fillId="0" borderId="27" xfId="0" applyFont="1" applyBorder="1" applyAlignment="1" applyProtection="1">
      <alignment horizontal="center" vertical="top" wrapText="1"/>
    </xf>
    <xf numFmtId="0" fontId="36" fillId="2" borderId="0" xfId="3" applyFont="1" applyFill="1" applyBorder="1" applyAlignment="1">
      <alignment horizontal="center" vertical="center"/>
    </xf>
    <xf numFmtId="0" fontId="36" fillId="0" borderId="30" xfId="0" applyFont="1" applyBorder="1" applyAlignment="1">
      <alignment horizontal="center"/>
    </xf>
    <xf numFmtId="0" fontId="36" fillId="0" borderId="3" xfId="0" applyFont="1" applyBorder="1" applyAlignment="1" applyProtection="1">
      <alignment horizontal="center"/>
    </xf>
    <xf numFmtId="0" fontId="36" fillId="0" borderId="4" xfId="0" applyFont="1" applyBorder="1" applyAlignment="1" applyProtection="1">
      <alignment horizontal="center"/>
    </xf>
    <xf numFmtId="0" fontId="36" fillId="0" borderId="27" xfId="0" applyFont="1" applyBorder="1" applyAlignment="1" applyProtection="1">
      <alignment horizontal="center"/>
    </xf>
    <xf numFmtId="9" fontId="4" fillId="3" borderId="4" xfId="2" applyFont="1" applyFill="1" applyBorder="1" applyAlignment="1">
      <alignment horizontal="center" vertical="center" wrapText="1"/>
    </xf>
    <xf numFmtId="9" fontId="53" fillId="11" borderId="28" xfId="2" applyNumberFormat="1" applyFont="1" applyFill="1" applyBorder="1" applyAlignment="1">
      <alignment horizontal="center" vertical="center" wrapText="1"/>
    </xf>
  </cellXfs>
  <cellStyles count="6">
    <cellStyle name="Hipervínculo" xfId="5" builtinId="8"/>
    <cellStyle name="Millares" xfId="1" builtinId="3"/>
    <cellStyle name="Normal" xfId="0" builtinId="0"/>
    <cellStyle name="Normal 2" xfId="3"/>
    <cellStyle name="Normal_ANEXO 4. METAS DEL PLAN"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'[1]Anexo 5-1 Ingresos'!$H$65</c:f>
              <c:strCache>
                <c:ptCount val="1"/>
                <c:pt idx="0">
                  <c:v>Apropiado</c:v>
                </c:pt>
              </c:strCache>
            </c:strRef>
          </c:tx>
          <c:spPr>
            <a:solidFill>
              <a:schemeClr val="accent1"/>
            </a:solidFill>
            <a:ln>
              <a:noFill/>
            </a:ln>
            <a:effectLst/>
            <a:sp3d/>
          </c:spPr>
          <c:invertIfNegative val="0"/>
          <c:cat>
            <c:strRef>
              <c:f>'[1]Anexo 5-1 Ingresos'!$G$66:$G$70</c:f>
              <c:strCache>
                <c:ptCount val="5"/>
                <c:pt idx="0">
                  <c:v>INGRESOS CORRIENTES</c:v>
                </c:pt>
                <c:pt idx="1">
                  <c:v>RECURSOS DE CAPITAL</c:v>
                </c:pt>
                <c:pt idx="2">
                  <c:v>APORTES DE LA NACION</c:v>
                </c:pt>
                <c:pt idx="3">
                  <c:v>SISTEMA GENERAL DE REGALIA</c:v>
                </c:pt>
                <c:pt idx="4">
                  <c:v>TOTAL PRESUPUESTO </c:v>
                </c:pt>
              </c:strCache>
            </c:strRef>
          </c:cat>
          <c:val>
            <c:numRef>
              <c:f>'[1]Anexo 5-1 Ingresos'!$H$66:$H$70</c:f>
              <c:numCache>
                <c:formatCode>General</c:formatCode>
                <c:ptCount val="5"/>
                <c:pt idx="0">
                  <c:v>8207550000</c:v>
                </c:pt>
                <c:pt idx="1">
                  <c:v>5441833209</c:v>
                </c:pt>
                <c:pt idx="2">
                  <c:v>6581710301</c:v>
                </c:pt>
                <c:pt idx="3">
                  <c:v>0</c:v>
                </c:pt>
                <c:pt idx="4">
                  <c:v>20231093510</c:v>
                </c:pt>
              </c:numCache>
            </c:numRef>
          </c:val>
        </c:ser>
        <c:ser>
          <c:idx val="1"/>
          <c:order val="1"/>
          <c:tx>
            <c:strRef>
              <c:f>'[1]Anexo 5-1 Ingresos'!$I$65</c:f>
              <c:strCache>
                <c:ptCount val="1"/>
                <c:pt idx="0">
                  <c:v>Recaudado</c:v>
                </c:pt>
              </c:strCache>
            </c:strRef>
          </c:tx>
          <c:spPr>
            <a:solidFill>
              <a:schemeClr val="accent2"/>
            </a:solidFill>
            <a:ln>
              <a:noFill/>
            </a:ln>
            <a:effectLst/>
            <a:sp3d/>
          </c:spPr>
          <c:invertIfNegative val="0"/>
          <c:cat>
            <c:strRef>
              <c:f>'[1]Anexo 5-1 Ingresos'!$G$66:$G$70</c:f>
              <c:strCache>
                <c:ptCount val="5"/>
                <c:pt idx="0">
                  <c:v>INGRESOS CORRIENTES</c:v>
                </c:pt>
                <c:pt idx="1">
                  <c:v>RECURSOS DE CAPITAL</c:v>
                </c:pt>
                <c:pt idx="2">
                  <c:v>APORTES DE LA NACION</c:v>
                </c:pt>
                <c:pt idx="3">
                  <c:v>SISTEMA GENERAL DE REGALIA</c:v>
                </c:pt>
                <c:pt idx="4">
                  <c:v>TOTAL PRESUPUESTO </c:v>
                </c:pt>
              </c:strCache>
            </c:strRef>
          </c:cat>
          <c:val>
            <c:numRef>
              <c:f>'[1]Anexo 5-1 Ingresos'!$I$66:$I$70</c:f>
              <c:numCache>
                <c:formatCode>General</c:formatCode>
                <c:ptCount val="5"/>
                <c:pt idx="0">
                  <c:v>6124196203.7799997</c:v>
                </c:pt>
                <c:pt idx="1">
                  <c:v>5528965409.6599998</c:v>
                </c:pt>
                <c:pt idx="2">
                  <c:v>6316895126</c:v>
                </c:pt>
                <c:pt idx="3">
                  <c:v>0</c:v>
                </c:pt>
                <c:pt idx="4">
                  <c:v>17970056739.439999</c:v>
                </c:pt>
              </c:numCache>
            </c:numRef>
          </c:val>
        </c:ser>
        <c:dLbls>
          <c:showLegendKey val="0"/>
          <c:showVal val="0"/>
          <c:showCatName val="0"/>
          <c:showSerName val="0"/>
          <c:showPercent val="0"/>
          <c:showBubbleSize val="0"/>
        </c:dLbls>
        <c:gapWidth val="150"/>
        <c:shape val="box"/>
        <c:axId val="217791488"/>
        <c:axId val="217793280"/>
        <c:axId val="0"/>
      </c:bar3DChart>
      <c:catAx>
        <c:axId val="217791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7793280"/>
        <c:crosses val="autoZero"/>
        <c:auto val="1"/>
        <c:lblAlgn val="ctr"/>
        <c:lblOffset val="100"/>
        <c:noMultiLvlLbl val="0"/>
      </c:catAx>
      <c:valAx>
        <c:axId val="217793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7791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'[1]Anexo 5-2 Gastos'!$P$20</c:f>
              <c:strCache>
                <c:ptCount val="1"/>
                <c:pt idx="0">
                  <c:v>PRESUPUESTADO</c:v>
                </c:pt>
              </c:strCache>
            </c:strRef>
          </c:tx>
          <c:spPr>
            <a:solidFill>
              <a:schemeClr val="accent1"/>
            </a:solidFill>
            <a:ln>
              <a:noFill/>
            </a:ln>
            <a:effectLst/>
            <a:sp3d/>
          </c:spPr>
          <c:invertIfNegative val="0"/>
          <c:cat>
            <c:strRef>
              <c:f>'[1]Anexo 5-2 Gastos'!$Q$19:$S$19</c:f>
              <c:strCache>
                <c:ptCount val="3"/>
                <c:pt idx="0">
                  <c:v>Funcionamiento</c:v>
                </c:pt>
                <c:pt idx="1">
                  <c:v>Inversion </c:v>
                </c:pt>
                <c:pt idx="2">
                  <c:v>Total</c:v>
                </c:pt>
              </c:strCache>
            </c:strRef>
          </c:cat>
          <c:val>
            <c:numRef>
              <c:f>'[1]Anexo 5-2 Gastos'!$Q$20:$S$20</c:f>
              <c:numCache>
                <c:formatCode>General</c:formatCode>
                <c:ptCount val="3"/>
                <c:pt idx="0">
                  <c:v>8761017229</c:v>
                </c:pt>
                <c:pt idx="1">
                  <c:v>11470076281</c:v>
                </c:pt>
                <c:pt idx="2">
                  <c:v>20231093510</c:v>
                </c:pt>
              </c:numCache>
            </c:numRef>
          </c:val>
        </c:ser>
        <c:ser>
          <c:idx val="1"/>
          <c:order val="1"/>
          <c:tx>
            <c:strRef>
              <c:f>'[1]Anexo 5-2 Gastos'!$P$21</c:f>
              <c:strCache>
                <c:ptCount val="1"/>
                <c:pt idx="0">
                  <c:v>COMPROMETIDO</c:v>
                </c:pt>
              </c:strCache>
            </c:strRef>
          </c:tx>
          <c:spPr>
            <a:solidFill>
              <a:schemeClr val="accent2"/>
            </a:solidFill>
            <a:ln>
              <a:noFill/>
            </a:ln>
            <a:effectLst/>
            <a:sp3d/>
          </c:spPr>
          <c:invertIfNegative val="0"/>
          <c:cat>
            <c:strRef>
              <c:f>'[1]Anexo 5-2 Gastos'!$Q$19:$S$19</c:f>
              <c:strCache>
                <c:ptCount val="3"/>
                <c:pt idx="0">
                  <c:v>Funcionamiento</c:v>
                </c:pt>
                <c:pt idx="1">
                  <c:v>Inversion </c:v>
                </c:pt>
                <c:pt idx="2">
                  <c:v>Total</c:v>
                </c:pt>
              </c:strCache>
            </c:strRef>
          </c:cat>
          <c:val>
            <c:numRef>
              <c:f>'[1]Anexo 5-2 Gastos'!$Q$21:$S$21</c:f>
              <c:numCache>
                <c:formatCode>General</c:formatCode>
                <c:ptCount val="3"/>
                <c:pt idx="0">
                  <c:v>8396272758</c:v>
                </c:pt>
                <c:pt idx="1">
                  <c:v>10151844635.58</c:v>
                </c:pt>
                <c:pt idx="2">
                  <c:v>18548117393.580002</c:v>
                </c:pt>
              </c:numCache>
            </c:numRef>
          </c:val>
        </c:ser>
        <c:dLbls>
          <c:showLegendKey val="0"/>
          <c:showVal val="0"/>
          <c:showCatName val="0"/>
          <c:showSerName val="0"/>
          <c:showPercent val="0"/>
          <c:showBubbleSize val="0"/>
        </c:dLbls>
        <c:gapWidth val="150"/>
        <c:shape val="box"/>
        <c:axId val="217737472"/>
        <c:axId val="217743360"/>
        <c:axId val="0"/>
      </c:bar3DChart>
      <c:catAx>
        <c:axId val="2177374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7743360"/>
        <c:crosses val="autoZero"/>
        <c:auto val="1"/>
        <c:lblAlgn val="ctr"/>
        <c:lblOffset val="100"/>
        <c:noMultiLvlLbl val="0"/>
      </c:catAx>
      <c:valAx>
        <c:axId val="217743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77374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'[1]Anexo 5-2 Gastos'!$O$53</c:f>
              <c:strCache>
                <c:ptCount val="1"/>
                <c:pt idx="0">
                  <c:v>COMPROMETIDO</c:v>
                </c:pt>
              </c:strCache>
            </c:strRef>
          </c:tx>
          <c:invertIfNegative val="0"/>
          <c:cat>
            <c:strRef>
              <c:f>'[1]Anexo 5-2 Gastos'!$P$52:$R$52</c:f>
              <c:strCache>
                <c:ptCount val="3"/>
                <c:pt idx="0">
                  <c:v>Funcionamiento</c:v>
                </c:pt>
                <c:pt idx="1">
                  <c:v>Inversion </c:v>
                </c:pt>
                <c:pt idx="2">
                  <c:v>Total</c:v>
                </c:pt>
              </c:strCache>
            </c:strRef>
          </c:cat>
          <c:val>
            <c:numRef>
              <c:f>'[1]Anexo 5-2 Gastos'!$P$53:$R$53</c:f>
              <c:numCache>
                <c:formatCode>General</c:formatCode>
                <c:ptCount val="3"/>
                <c:pt idx="0">
                  <c:v>8396272758</c:v>
                </c:pt>
                <c:pt idx="1">
                  <c:v>10151844635.58</c:v>
                </c:pt>
                <c:pt idx="2">
                  <c:v>18548117393.580002</c:v>
                </c:pt>
              </c:numCache>
            </c:numRef>
          </c:val>
        </c:ser>
        <c:ser>
          <c:idx val="1"/>
          <c:order val="1"/>
          <c:tx>
            <c:strRef>
              <c:f>'[1]Anexo 5-2 Gastos'!$O$54</c:f>
              <c:strCache>
                <c:ptCount val="1"/>
                <c:pt idx="0">
                  <c:v>PAGOS</c:v>
                </c:pt>
              </c:strCache>
            </c:strRef>
          </c:tx>
          <c:invertIfNegative val="0"/>
          <c:cat>
            <c:strRef>
              <c:f>'[1]Anexo 5-2 Gastos'!$P$52:$R$52</c:f>
              <c:strCache>
                <c:ptCount val="3"/>
                <c:pt idx="0">
                  <c:v>Funcionamiento</c:v>
                </c:pt>
                <c:pt idx="1">
                  <c:v>Inversion </c:v>
                </c:pt>
                <c:pt idx="2">
                  <c:v>Total</c:v>
                </c:pt>
              </c:strCache>
            </c:strRef>
          </c:cat>
          <c:val>
            <c:numRef>
              <c:f>'[1]Anexo 5-2 Gastos'!$P$54:$R$54</c:f>
              <c:numCache>
                <c:formatCode>General</c:formatCode>
                <c:ptCount val="3"/>
                <c:pt idx="0">
                  <c:v>7463241420.9899998</c:v>
                </c:pt>
                <c:pt idx="1">
                  <c:v>6417720100.5</c:v>
                </c:pt>
                <c:pt idx="2">
                  <c:v>13880961521.49</c:v>
                </c:pt>
              </c:numCache>
            </c:numRef>
          </c:val>
        </c:ser>
        <c:dLbls>
          <c:showLegendKey val="0"/>
          <c:showVal val="0"/>
          <c:showCatName val="0"/>
          <c:showSerName val="0"/>
          <c:showPercent val="0"/>
          <c:showBubbleSize val="0"/>
        </c:dLbls>
        <c:gapWidth val="150"/>
        <c:shape val="box"/>
        <c:axId val="217770240"/>
        <c:axId val="218103808"/>
        <c:axId val="0"/>
      </c:bar3DChart>
      <c:catAx>
        <c:axId val="217770240"/>
        <c:scaling>
          <c:orientation val="minMax"/>
        </c:scaling>
        <c:delete val="0"/>
        <c:axPos val="b"/>
        <c:majorTickMark val="none"/>
        <c:minorTickMark val="none"/>
        <c:tickLblPos val="nextTo"/>
        <c:crossAx val="218103808"/>
        <c:crosses val="autoZero"/>
        <c:auto val="1"/>
        <c:lblAlgn val="ctr"/>
        <c:lblOffset val="100"/>
        <c:noMultiLvlLbl val="0"/>
      </c:catAx>
      <c:valAx>
        <c:axId val="218103808"/>
        <c:scaling>
          <c:orientation val="minMax"/>
        </c:scaling>
        <c:delete val="0"/>
        <c:axPos val="l"/>
        <c:majorGridlines/>
        <c:numFmt formatCode="General" sourceLinked="1"/>
        <c:majorTickMark val="none"/>
        <c:minorTickMark val="none"/>
        <c:tickLblPos val="nextTo"/>
        <c:crossAx val="21777024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358587</xdr:colOff>
      <xdr:row>0</xdr:row>
      <xdr:rowOff>89648</xdr:rowOff>
    </xdr:from>
    <xdr:to>
      <xdr:col>13</xdr:col>
      <xdr:colOff>548528</xdr:colOff>
      <xdr:row>1</xdr:row>
      <xdr:rowOff>12327</xdr:rowOff>
    </xdr:to>
    <xdr:grpSp>
      <xdr:nvGrpSpPr>
        <xdr:cNvPr id="2" name="1 Grupo"/>
        <xdr:cNvGrpSpPr>
          <a:grpSpLocks/>
        </xdr:cNvGrpSpPr>
      </xdr:nvGrpSpPr>
      <xdr:grpSpPr bwMode="auto">
        <a:xfrm>
          <a:off x="358587" y="89648"/>
          <a:ext cx="10686491" cy="1580029"/>
          <a:chOff x="-2456969" y="137273"/>
          <a:chExt cx="14989044" cy="1581150"/>
        </a:xfrm>
      </xdr:grpSpPr>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2456969" y="137273"/>
            <a:ext cx="2229500" cy="1581150"/>
          </a:xfrm>
          <a:prstGeom prst="rect">
            <a:avLst/>
          </a:prstGeom>
          <a:noFill/>
          <a:ln w="9525">
            <a:noFill/>
            <a:miter lim="800000"/>
            <a:headEnd/>
            <a:tailEnd/>
          </a:ln>
        </xdr:spPr>
      </xdr:pic>
      <xdr:sp macro="" textlink="">
        <xdr:nvSpPr>
          <xdr:cNvPr id="4" name="3 CuadroTexto"/>
          <xdr:cNvSpPr txBox="1"/>
        </xdr:nvSpPr>
        <xdr:spPr>
          <a:xfrm>
            <a:off x="7719840" y="55133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4" name="3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5" name="3 CuadroTexto"/>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1</xdr:col>
      <xdr:colOff>647700</xdr:colOff>
      <xdr:row>0</xdr:row>
      <xdr:rowOff>381000</xdr:rowOff>
    </xdr:from>
    <xdr:to>
      <xdr:col>3</xdr:col>
      <xdr:colOff>885825</xdr:colOff>
      <xdr:row>0</xdr:row>
      <xdr:rowOff>1152525</xdr:rowOff>
    </xdr:to>
    <xdr:sp macro="" textlink="">
      <xdr:nvSpPr>
        <xdr:cNvPr id="3" name="5 CuadroTexto"/>
        <xdr:cNvSpPr txBox="1"/>
      </xdr:nvSpPr>
      <xdr:spPr bwMode="auto">
        <a:xfrm>
          <a:off x="1257300" y="381000"/>
          <a:ext cx="48768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7</xdr:col>
      <xdr:colOff>238125</xdr:colOff>
      <xdr:row>19</xdr:row>
      <xdr:rowOff>33336</xdr:rowOff>
    </xdr:from>
    <xdr:to>
      <xdr:col>17</xdr:col>
      <xdr:colOff>657225</xdr:colOff>
      <xdr:row>43</xdr:row>
      <xdr:rowOff>114299</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1371600</xdr:colOff>
      <xdr:row>0</xdr:row>
      <xdr:rowOff>381000</xdr:rowOff>
    </xdr:from>
    <xdr:to>
      <xdr:col>5</xdr:col>
      <xdr:colOff>323850</xdr:colOff>
      <xdr:row>0</xdr:row>
      <xdr:rowOff>1152525</xdr:rowOff>
    </xdr:to>
    <xdr:sp macro="" textlink="">
      <xdr:nvSpPr>
        <xdr:cNvPr id="3" name="5 CuadroTexto"/>
        <xdr:cNvSpPr txBox="1"/>
      </xdr:nvSpPr>
      <xdr:spPr bwMode="auto">
        <a:xfrm>
          <a:off x="1371600" y="381000"/>
          <a:ext cx="623887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13</xdr:col>
      <xdr:colOff>447675</xdr:colOff>
      <xdr:row>27</xdr:row>
      <xdr:rowOff>33337</xdr:rowOff>
    </xdr:from>
    <xdr:to>
      <xdr:col>18</xdr:col>
      <xdr:colOff>66675</xdr:colOff>
      <xdr:row>41</xdr:row>
      <xdr:rowOff>23812</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839932</xdr:colOff>
      <xdr:row>58</xdr:row>
      <xdr:rowOff>91787</xdr:rowOff>
    </xdr:from>
    <xdr:to>
      <xdr:col>17</xdr:col>
      <xdr:colOff>1065068</xdr:colOff>
      <xdr:row>75</xdr:row>
      <xdr:rowOff>38101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ncionario/Desktop/Planeacion/2017/Informe%20de%20Gesti&#243;n/31%2012%202017/Formatos%20Informe%20Gesti&#243;n%20SINA%202017%20,%20con%20graficas%20Terc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2 Protocolo Inf Gestión"/>
      <sheetName val="Anexo 3 Matriz IMG"/>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Obs Generales"/>
    </sheetNames>
    <sheetDataSet>
      <sheetData sheetId="0"/>
      <sheetData sheetId="1"/>
      <sheetData sheetId="2"/>
      <sheetData sheetId="3"/>
      <sheetData sheetId="4">
        <row r="65">
          <cell r="H65" t="str">
            <v>Apropiado</v>
          </cell>
          <cell r="I65" t="str">
            <v>Recaudado</v>
          </cell>
        </row>
        <row r="66">
          <cell r="G66" t="str">
            <v>INGRESOS CORRIENTES</v>
          </cell>
          <cell r="H66">
            <v>8207550000</v>
          </cell>
          <cell r="I66">
            <v>6124196203.7799997</v>
          </cell>
        </row>
        <row r="67">
          <cell r="G67" t="str">
            <v>RECURSOS DE CAPITAL</v>
          </cell>
          <cell r="H67">
            <v>5441833209</v>
          </cell>
          <cell r="I67">
            <v>5528965409.6599998</v>
          </cell>
        </row>
        <row r="68">
          <cell r="G68" t="str">
            <v>APORTES DE LA NACION</v>
          </cell>
          <cell r="H68">
            <v>6581710301</v>
          </cell>
          <cell r="I68">
            <v>6316895126</v>
          </cell>
        </row>
        <row r="69">
          <cell r="G69" t="str">
            <v>SISTEMA GENERAL DE REGALIA</v>
          </cell>
          <cell r="H69" t="e">
            <v>#REF!</v>
          </cell>
          <cell r="I69" t="e">
            <v>#REF!</v>
          </cell>
        </row>
        <row r="70">
          <cell r="G70" t="str">
            <v xml:space="preserve">TOTAL PRESUPUESTO </v>
          </cell>
          <cell r="H70">
            <v>20231093510</v>
          </cell>
          <cell r="I70">
            <v>17970056739.439999</v>
          </cell>
        </row>
      </sheetData>
      <sheetData sheetId="5">
        <row r="19">
          <cell r="Q19" t="str">
            <v>Funcionamiento</v>
          </cell>
          <cell r="R19" t="str">
            <v xml:space="preserve">Inversion </v>
          </cell>
          <cell r="S19" t="str">
            <v>Total</v>
          </cell>
        </row>
        <row r="20">
          <cell r="P20" t="str">
            <v>PRESUPUESTADO</v>
          </cell>
          <cell r="Q20">
            <v>8761017229</v>
          </cell>
          <cell r="R20">
            <v>11470076281</v>
          </cell>
          <cell r="S20">
            <v>20231093510</v>
          </cell>
        </row>
        <row r="21">
          <cell r="P21" t="str">
            <v>COMPROMETIDO</v>
          </cell>
          <cell r="Q21">
            <v>8396272758</v>
          </cell>
          <cell r="R21">
            <v>10151844635.58</v>
          </cell>
          <cell r="S21">
            <v>18548117393.580002</v>
          </cell>
        </row>
        <row r="28">
          <cell r="K28">
            <v>309331486</v>
          </cell>
          <cell r="L28">
            <v>299947251</v>
          </cell>
        </row>
        <row r="29">
          <cell r="K29">
            <v>157628995</v>
          </cell>
          <cell r="L29">
            <v>135928332</v>
          </cell>
        </row>
        <row r="30">
          <cell r="K30">
            <v>161484366</v>
          </cell>
          <cell r="L30">
            <v>158945730</v>
          </cell>
        </row>
        <row r="32">
          <cell r="K32">
            <v>2562463147</v>
          </cell>
          <cell r="L32">
            <v>2111149154.5</v>
          </cell>
        </row>
        <row r="33">
          <cell r="K33">
            <v>653794079</v>
          </cell>
          <cell r="L33">
            <v>605098896</v>
          </cell>
        </row>
        <row r="35">
          <cell r="K35">
            <v>3483060967</v>
          </cell>
          <cell r="L35">
            <v>3200442091.5799999</v>
          </cell>
        </row>
        <row r="36">
          <cell r="K36">
            <v>714018181</v>
          </cell>
          <cell r="L36">
            <v>465174776</v>
          </cell>
        </row>
        <row r="37">
          <cell r="K37">
            <v>50830493</v>
          </cell>
          <cell r="L37">
            <v>50629426</v>
          </cell>
        </row>
        <row r="39">
          <cell r="K39">
            <v>845706080</v>
          </cell>
          <cell r="L39">
            <v>819878638.5</v>
          </cell>
        </row>
        <row r="40">
          <cell r="K40">
            <v>686169172</v>
          </cell>
          <cell r="L40">
            <v>663443725</v>
          </cell>
        </row>
        <row r="42">
          <cell r="K42">
            <v>442544536</v>
          </cell>
          <cell r="L42">
            <v>360093860</v>
          </cell>
        </row>
        <row r="43">
          <cell r="K43">
            <v>216476412</v>
          </cell>
          <cell r="L43">
            <v>119715090</v>
          </cell>
        </row>
        <row r="45">
          <cell r="K45">
            <v>866055775</v>
          </cell>
          <cell r="L45">
            <v>865445359</v>
          </cell>
        </row>
        <row r="46">
          <cell r="K46">
            <v>320512592</v>
          </cell>
          <cell r="L46">
            <v>295952306</v>
          </cell>
        </row>
        <row r="52">
          <cell r="P52" t="str">
            <v>Funcionamiento</v>
          </cell>
          <cell r="Q52" t="str">
            <v xml:space="preserve">Inversion </v>
          </cell>
          <cell r="R52" t="str">
            <v>Total</v>
          </cell>
        </row>
        <row r="53">
          <cell r="O53" t="str">
            <v>COMPROMETIDO</v>
          </cell>
          <cell r="P53">
            <v>8396272758</v>
          </cell>
          <cell r="Q53">
            <v>10151844635.58</v>
          </cell>
          <cell r="R53">
            <v>18548117393.580002</v>
          </cell>
        </row>
        <row r="54">
          <cell r="O54" t="str">
            <v>PAGOS</v>
          </cell>
          <cell r="P54">
            <v>7463241420.9899998</v>
          </cell>
          <cell r="Q54">
            <v>6417720100.5</v>
          </cell>
          <cell r="R54">
            <v>13880961521.49</v>
          </cell>
        </row>
      </sheetData>
      <sheetData sheetId="6">
        <row r="8">
          <cell r="D8">
            <v>0.30989583333333331</v>
          </cell>
        </row>
      </sheetData>
      <sheetData sheetId="7">
        <row r="8">
          <cell r="D8" t="str">
            <v>SIN INFORMACION</v>
          </cell>
        </row>
      </sheetData>
      <sheetData sheetId="8">
        <row r="8">
          <cell r="D8">
            <v>1</v>
          </cell>
        </row>
      </sheetData>
      <sheetData sheetId="9">
        <row r="8">
          <cell r="D8" t="str">
            <v>SIN INFORMACION</v>
          </cell>
        </row>
      </sheetData>
      <sheetData sheetId="10">
        <row r="8">
          <cell r="D8">
            <v>1</v>
          </cell>
        </row>
      </sheetData>
      <sheetData sheetId="11">
        <row r="8">
          <cell r="D8">
            <v>1</v>
          </cell>
        </row>
      </sheetData>
      <sheetData sheetId="12">
        <row r="8">
          <cell r="D8">
            <v>1</v>
          </cell>
        </row>
      </sheetData>
      <sheetData sheetId="13"/>
      <sheetData sheetId="14">
        <row r="9">
          <cell r="D9" t="str">
            <v>SIN INFORMACION</v>
          </cell>
        </row>
      </sheetData>
      <sheetData sheetId="15">
        <row r="8">
          <cell r="D8" t="str">
            <v>SIN INFORMACION</v>
          </cell>
        </row>
      </sheetData>
      <sheetData sheetId="16">
        <row r="8">
          <cell r="D8" t="str">
            <v>SIN INFORMACION</v>
          </cell>
        </row>
      </sheetData>
      <sheetData sheetId="17">
        <row r="8">
          <cell r="D8">
            <v>1</v>
          </cell>
        </row>
      </sheetData>
      <sheetData sheetId="18">
        <row r="8">
          <cell r="D8">
            <v>0.63888888888888884</v>
          </cell>
        </row>
      </sheetData>
      <sheetData sheetId="19">
        <row r="8">
          <cell r="D8">
            <v>1</v>
          </cell>
        </row>
      </sheetData>
      <sheetData sheetId="20">
        <row r="8">
          <cell r="D8">
            <v>1.7975000000000001</v>
          </cell>
        </row>
      </sheetData>
      <sheetData sheetId="21">
        <row r="8">
          <cell r="D8" t="str">
            <v>SIN INFORMACION</v>
          </cell>
        </row>
      </sheetData>
      <sheetData sheetId="22">
        <row r="8">
          <cell r="D8">
            <v>1</v>
          </cell>
        </row>
      </sheetData>
      <sheetData sheetId="23">
        <row r="8">
          <cell r="D8">
            <v>0.25</v>
          </cell>
        </row>
      </sheetData>
      <sheetData sheetId="24">
        <row r="8">
          <cell r="D8">
            <v>0.43987500000000013</v>
          </cell>
        </row>
      </sheetData>
      <sheetData sheetId="25">
        <row r="8">
          <cell r="D8">
            <v>0.25</v>
          </cell>
        </row>
      </sheetData>
      <sheetData sheetId="26">
        <row r="57">
          <cell r="E57">
            <v>94.403143812709033</v>
          </cell>
        </row>
      </sheetData>
      <sheetData sheetId="27">
        <row r="8">
          <cell r="D8">
            <v>0.79201074787281689</v>
          </cell>
        </row>
      </sheetData>
      <sheetData sheetId="28">
        <row r="8">
          <cell r="D8">
            <v>0.10752688172043011</v>
          </cell>
        </row>
      </sheetData>
      <sheetData sheetId="29">
        <row r="7">
          <cell r="D7">
            <v>1</v>
          </cell>
        </row>
      </sheetData>
      <sheetData sheetId="30">
        <row r="8">
          <cell r="D8">
            <v>0.65625</v>
          </cell>
        </row>
      </sheetData>
      <sheetData sheetId="31">
        <row r="8">
          <cell r="D8">
            <v>0.70806133850858621</v>
          </cell>
        </row>
      </sheetData>
      <sheetData sheetId="32">
        <row r="8">
          <cell r="D8">
            <v>0.4325</v>
          </cell>
        </row>
      </sheetData>
      <sheetData sheetId="33"/>
      <sheetData sheetId="34"/>
      <sheetData sheetId="3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
  <sheetViews>
    <sheetView tabSelected="1" topLeftCell="A86" workbookViewId="0">
      <selection activeCell="I94" sqref="I94"/>
    </sheetView>
  </sheetViews>
  <sheetFormatPr baseColWidth="10" defaultRowHeight="12.75"/>
  <cols>
    <col min="1" max="1" width="7.42578125" style="2" customWidth="1"/>
    <col min="2" max="2" width="6.42578125" style="2" customWidth="1"/>
    <col min="3" max="3" width="8" style="2" customWidth="1"/>
    <col min="4" max="4" width="7" style="2" customWidth="1"/>
    <col min="5" max="5" width="27.140625" style="2" customWidth="1"/>
    <col min="6" max="6" width="9.5703125" style="2" customWidth="1"/>
    <col min="7" max="7" width="15.140625" style="2" customWidth="1"/>
    <col min="8" max="8" width="12.140625" style="2" customWidth="1"/>
    <col min="9" max="9" width="13" style="2" customWidth="1"/>
    <col min="10" max="10" width="11.28515625" style="2" customWidth="1"/>
    <col min="11" max="11" width="19.42578125" style="2" customWidth="1"/>
    <col min="12" max="12" width="10.140625" style="2" customWidth="1"/>
    <col min="13" max="13" width="10.7109375" style="2" customWidth="1"/>
    <col min="14" max="14" width="11" style="2" customWidth="1"/>
    <col min="15" max="15" width="9.7109375" style="2" customWidth="1"/>
    <col min="16" max="16" width="19.140625" style="2" customWidth="1"/>
    <col min="17" max="17" width="20.5703125" style="2" customWidth="1"/>
    <col min="18" max="18" width="25" style="2" customWidth="1"/>
    <col min="19" max="19" width="18" style="2" customWidth="1"/>
    <col min="20" max="20" width="18.7109375" style="2" customWidth="1"/>
    <col min="21" max="21" width="12.42578125" style="2" customWidth="1"/>
    <col min="22" max="16384" width="11.42578125" style="2"/>
  </cols>
  <sheetData>
    <row r="1" spans="1:22" ht="130.5" customHeight="1" thickBot="1">
      <c r="A1" s="1"/>
      <c r="B1" s="1"/>
      <c r="C1" s="1"/>
      <c r="D1" s="1"/>
      <c r="E1" s="1"/>
      <c r="F1" s="1"/>
      <c r="G1" s="1"/>
      <c r="H1" s="1"/>
      <c r="I1" s="1"/>
      <c r="J1" s="1"/>
      <c r="K1" s="1"/>
      <c r="L1" s="1"/>
      <c r="M1" s="1"/>
      <c r="N1" s="1"/>
      <c r="O1" s="1"/>
      <c r="P1" s="1"/>
      <c r="Q1" s="1"/>
      <c r="R1" s="561"/>
      <c r="S1" s="561"/>
      <c r="T1" s="561"/>
      <c r="U1" s="561"/>
      <c r="V1" s="561"/>
    </row>
    <row r="2" spans="1:22" ht="19.5" customHeight="1">
      <c r="A2" s="562" t="s">
        <v>0</v>
      </c>
      <c r="B2" s="562"/>
      <c r="C2" s="562"/>
      <c r="D2" s="562"/>
      <c r="E2" s="562"/>
      <c r="F2" s="562"/>
      <c r="G2" s="562"/>
      <c r="H2" s="562"/>
      <c r="I2" s="562"/>
      <c r="J2" s="562"/>
      <c r="K2" s="562"/>
      <c r="L2" s="562"/>
      <c r="M2" s="562"/>
      <c r="N2" s="562"/>
      <c r="O2" s="562"/>
      <c r="P2" s="562"/>
      <c r="Q2" s="562"/>
      <c r="R2" s="562"/>
    </row>
    <row r="3" spans="1:22" ht="18.75" thickBot="1">
      <c r="A3" s="3"/>
      <c r="B3" s="3"/>
      <c r="C3" s="3"/>
      <c r="D3" s="3"/>
      <c r="E3" s="563" t="s">
        <v>1</v>
      </c>
      <c r="F3" s="563"/>
      <c r="G3" s="563"/>
      <c r="H3" s="563"/>
      <c r="I3" s="563"/>
      <c r="J3" s="563"/>
      <c r="K3" s="563"/>
      <c r="L3" s="563"/>
      <c r="M3" s="563"/>
      <c r="N3" s="563"/>
      <c r="O3" s="563"/>
      <c r="P3" s="563"/>
      <c r="Q3" s="563"/>
      <c r="R3" s="563"/>
      <c r="S3" s="563"/>
      <c r="T3" s="563"/>
      <c r="U3" s="563"/>
      <c r="V3" s="563"/>
    </row>
    <row r="4" spans="1:22" ht="23.25" customHeight="1" thickBot="1">
      <c r="A4" s="564" t="s">
        <v>2</v>
      </c>
      <c r="B4" s="565"/>
      <c r="C4" s="565"/>
      <c r="D4" s="566" t="s">
        <v>3</v>
      </c>
      <c r="E4" s="569" t="s">
        <v>4</v>
      </c>
      <c r="F4" s="569"/>
      <c r="G4" s="569"/>
      <c r="H4" s="569"/>
      <c r="I4" s="569"/>
      <c r="J4" s="569"/>
      <c r="K4" s="569"/>
      <c r="L4" s="569"/>
      <c r="M4" s="569"/>
      <c r="N4" s="569"/>
      <c r="O4" s="569"/>
      <c r="P4" s="569"/>
      <c r="Q4" s="569"/>
      <c r="R4" s="569"/>
      <c r="S4" s="569"/>
      <c r="T4" s="569"/>
      <c r="U4" s="569"/>
      <c r="V4" s="570"/>
    </row>
    <row r="5" spans="1:22" ht="19.5" customHeight="1" thickBot="1">
      <c r="A5" s="571" t="s">
        <v>5</v>
      </c>
      <c r="B5" s="574" t="s">
        <v>6</v>
      </c>
      <c r="C5" s="577" t="s">
        <v>7</v>
      </c>
      <c r="D5" s="567"/>
      <c r="E5" s="580" t="s">
        <v>8</v>
      </c>
      <c r="F5" s="581"/>
      <c r="G5" s="581"/>
      <c r="H5" s="581"/>
      <c r="I5" s="581"/>
      <c r="J5" s="581"/>
      <c r="K5" s="581"/>
      <c r="L5" s="581"/>
      <c r="M5" s="581"/>
      <c r="N5" s="581"/>
      <c r="O5" s="581"/>
      <c r="P5" s="581"/>
      <c r="Q5" s="581"/>
      <c r="R5" s="581"/>
      <c r="S5" s="581"/>
      <c r="T5" s="581"/>
      <c r="U5" s="581"/>
      <c r="V5" s="582"/>
    </row>
    <row r="6" spans="1:22" ht="59.25" customHeight="1" thickBot="1">
      <c r="A6" s="572"/>
      <c r="B6" s="575"/>
      <c r="C6" s="578"/>
      <c r="D6" s="567"/>
      <c r="E6" s="583" t="s">
        <v>9</v>
      </c>
      <c r="F6" s="585" t="s">
        <v>10</v>
      </c>
      <c r="G6" s="585"/>
      <c r="H6" s="585"/>
      <c r="I6" s="585"/>
      <c r="J6" s="585"/>
      <c r="K6" s="585"/>
      <c r="L6" s="585"/>
      <c r="M6" s="586"/>
      <c r="N6" s="586"/>
      <c r="O6" s="586"/>
      <c r="P6" s="587" t="s">
        <v>11</v>
      </c>
      <c r="Q6" s="588"/>
      <c r="R6" s="588"/>
      <c r="S6" s="588"/>
      <c r="T6" s="588"/>
      <c r="U6" s="588"/>
      <c r="V6" s="589" t="s">
        <v>12</v>
      </c>
    </row>
    <row r="7" spans="1:22" ht="174" customHeight="1" thickBot="1">
      <c r="A7" s="573"/>
      <c r="B7" s="576"/>
      <c r="C7" s="579"/>
      <c r="D7" s="568"/>
      <c r="E7" s="584"/>
      <c r="F7" s="4" t="s">
        <v>13</v>
      </c>
      <c r="G7" s="5" t="s">
        <v>14</v>
      </c>
      <c r="H7" s="6" t="s">
        <v>15</v>
      </c>
      <c r="I7" s="5" t="s">
        <v>16</v>
      </c>
      <c r="J7" s="5" t="s">
        <v>17</v>
      </c>
      <c r="K7" s="5" t="s">
        <v>18</v>
      </c>
      <c r="L7" s="7" t="s">
        <v>19</v>
      </c>
      <c r="M7" s="7" t="s">
        <v>20</v>
      </c>
      <c r="N7" s="8" t="s">
        <v>21</v>
      </c>
      <c r="O7" s="7" t="s">
        <v>22</v>
      </c>
      <c r="P7" s="9" t="s">
        <v>23</v>
      </c>
      <c r="Q7" s="10" t="s">
        <v>24</v>
      </c>
      <c r="R7" s="11" t="s">
        <v>25</v>
      </c>
      <c r="S7" s="12" t="s">
        <v>26</v>
      </c>
      <c r="T7" s="12" t="s">
        <v>27</v>
      </c>
      <c r="U7" s="12" t="s">
        <v>28</v>
      </c>
      <c r="V7" s="590"/>
    </row>
    <row r="8" spans="1:22" ht="27" customHeight="1" thickBot="1">
      <c r="A8" s="661" t="s">
        <v>29</v>
      </c>
      <c r="B8" s="664" t="s">
        <v>30</v>
      </c>
      <c r="C8" s="665" t="s">
        <v>31</v>
      </c>
      <c r="D8" s="668" t="s">
        <v>32</v>
      </c>
      <c r="E8" s="606" t="s">
        <v>33</v>
      </c>
      <c r="F8" s="607"/>
      <c r="G8" s="607"/>
      <c r="H8" s="608"/>
      <c r="I8" s="13">
        <f>(I10+I12+I13+I14+I15+I16+I17+I18+I20+I21+I22+I23+I24+I27+I28)/15</f>
        <v>0.90231454063438721</v>
      </c>
      <c r="J8" s="13"/>
      <c r="K8" s="13"/>
      <c r="L8" s="13"/>
      <c r="M8" s="13"/>
      <c r="N8" s="14">
        <f>(N10+N11+N12+N13+N14+N15+N16+N17+N18+N20+N21+N22+N23+N24+N26+N27+N28+N29)/18</f>
        <v>0.54821245171796906</v>
      </c>
      <c r="O8" s="15">
        <f>O9+O19+O25</f>
        <v>0.21840000000000004</v>
      </c>
      <c r="P8" s="16">
        <f>P9+P19+P25</f>
        <v>628444847</v>
      </c>
      <c r="Q8" s="17">
        <f>Q9+Q19+Q25</f>
        <v>594821313</v>
      </c>
      <c r="R8" s="18">
        <f>Q8/P8</f>
        <v>0.94649723971720301</v>
      </c>
      <c r="S8" s="17">
        <f>S9+S19+S25</f>
        <v>2813900528</v>
      </c>
      <c r="T8" s="16">
        <f>T9+T19+T25</f>
        <v>13745427564</v>
      </c>
      <c r="U8" s="19">
        <f>T8/S8</f>
        <v>4.8848306566720261</v>
      </c>
      <c r="V8" s="20"/>
    </row>
    <row r="9" spans="1:22" ht="25.5" customHeight="1" thickBot="1">
      <c r="A9" s="662"/>
      <c r="B9" s="604"/>
      <c r="C9" s="666"/>
      <c r="D9" s="669"/>
      <c r="E9" s="609" t="s">
        <v>34</v>
      </c>
      <c r="F9" s="610"/>
      <c r="G9" s="610"/>
      <c r="H9" s="611"/>
      <c r="I9" s="21">
        <f>(I10+I12+I13+I14+I15+I16+I17+I18)/8</f>
        <v>0.84180165393337836</v>
      </c>
      <c r="J9" s="13"/>
      <c r="K9" s="22"/>
      <c r="L9" s="23"/>
      <c r="M9" s="24"/>
      <c r="N9" s="25">
        <f>(N10+N11+N12+N13+N14+N15+N16+N17+N18)/9</f>
        <v>0.53067901866227563</v>
      </c>
      <c r="O9" s="26">
        <v>7.8600000000000003E-2</v>
      </c>
      <c r="P9" s="27">
        <f>'[1]Anexo 5-2 Gastos'!K28</f>
        <v>309331486</v>
      </c>
      <c r="Q9" s="28">
        <f>'[1]Anexo 5-2 Gastos'!L28</f>
        <v>299947251</v>
      </c>
      <c r="R9" s="29">
        <f>Q9/P9</f>
        <v>0.96966285223224902</v>
      </c>
      <c r="S9" s="30">
        <f>273122362+290581533+300900109+312925366</f>
        <v>1177529370</v>
      </c>
      <c r="T9" s="31">
        <f>495449839+P9</f>
        <v>804781325</v>
      </c>
      <c r="U9" s="32">
        <f>T9/S9</f>
        <v>0.68344904637070747</v>
      </c>
      <c r="V9" s="33"/>
    </row>
    <row r="10" spans="1:22" ht="77.25" customHeight="1">
      <c r="A10" s="662"/>
      <c r="B10" s="604"/>
      <c r="C10" s="666"/>
      <c r="D10" s="666"/>
      <c r="E10" s="34" t="s">
        <v>35</v>
      </c>
      <c r="F10" s="35" t="s">
        <v>36</v>
      </c>
      <c r="G10" s="36">
        <v>0.375</v>
      </c>
      <c r="H10" s="37">
        <f>'[1]1POMCAS'!D8</f>
        <v>0.30989583333333331</v>
      </c>
      <c r="I10" s="38">
        <f>H10/G10</f>
        <v>0.82638888888888884</v>
      </c>
      <c r="J10" s="35" t="s">
        <v>37</v>
      </c>
      <c r="K10" s="39"/>
      <c r="L10" s="40">
        <v>1</v>
      </c>
      <c r="M10" s="41">
        <f>H10+0.4</f>
        <v>0.70989583333333339</v>
      </c>
      <c r="N10" s="41">
        <f t="shared" ref="N10:N24" si="0">M10/L10</f>
        <v>0.70989583333333339</v>
      </c>
      <c r="O10" s="42"/>
      <c r="P10" s="43"/>
      <c r="Q10" s="43"/>
      <c r="R10" s="43"/>
      <c r="S10" s="43"/>
      <c r="T10" s="43"/>
      <c r="U10" s="43"/>
      <c r="V10" s="44"/>
    </row>
    <row r="11" spans="1:22" ht="53.25" customHeight="1">
      <c r="A11" s="662"/>
      <c r="B11" s="604"/>
      <c r="C11" s="666"/>
      <c r="D11" s="666"/>
      <c r="E11" s="45" t="s">
        <v>38</v>
      </c>
      <c r="F11" s="46" t="s">
        <v>36</v>
      </c>
      <c r="G11" s="47">
        <v>0</v>
      </c>
      <c r="H11" s="48" t="str">
        <f>'[1]10Paramos'!D8</f>
        <v>SIN INFORMACION</v>
      </c>
      <c r="I11" s="49" t="s">
        <v>39</v>
      </c>
      <c r="J11" s="46" t="s">
        <v>37</v>
      </c>
      <c r="K11" s="50" t="s">
        <v>40</v>
      </c>
      <c r="L11" s="51">
        <v>1</v>
      </c>
      <c r="M11" s="51">
        <v>0</v>
      </c>
      <c r="N11" s="52">
        <f t="shared" si="0"/>
        <v>0</v>
      </c>
      <c r="O11" s="53"/>
      <c r="P11" s="54"/>
      <c r="Q11" s="54"/>
      <c r="R11" s="54"/>
      <c r="S11" s="54"/>
      <c r="T11" s="54"/>
      <c r="U11" s="54"/>
      <c r="V11" s="55"/>
    </row>
    <row r="12" spans="1:22" ht="115.5" customHeight="1">
      <c r="A12" s="662"/>
      <c r="B12" s="604"/>
      <c r="C12" s="666"/>
      <c r="D12" s="666"/>
      <c r="E12" s="45" t="s">
        <v>41</v>
      </c>
      <c r="F12" s="46" t="s">
        <v>36</v>
      </c>
      <c r="G12" s="47">
        <v>1</v>
      </c>
      <c r="H12" s="48">
        <f>'[1]24POT'!D7</f>
        <v>1</v>
      </c>
      <c r="I12" s="56">
        <f t="shared" ref="I12:I16" si="1">H12/G12</f>
        <v>1</v>
      </c>
      <c r="J12" s="46" t="s">
        <v>37</v>
      </c>
      <c r="K12" s="57"/>
      <c r="L12" s="51">
        <v>1</v>
      </c>
      <c r="M12" s="51">
        <f>(1+H12)/4</f>
        <v>0.5</v>
      </c>
      <c r="N12" s="52">
        <f t="shared" si="0"/>
        <v>0.5</v>
      </c>
      <c r="O12" s="53"/>
      <c r="P12" s="54"/>
      <c r="Q12" s="54"/>
      <c r="R12" s="54"/>
      <c r="S12" s="54"/>
      <c r="T12" s="54"/>
      <c r="U12" s="54"/>
      <c r="V12" s="55"/>
    </row>
    <row r="13" spans="1:22" ht="36">
      <c r="A13" s="662"/>
      <c r="B13" s="604"/>
      <c r="C13" s="666"/>
      <c r="D13" s="666"/>
      <c r="E13" s="45" t="s">
        <v>42</v>
      </c>
      <c r="F13" s="58" t="s">
        <v>36</v>
      </c>
      <c r="G13" s="56">
        <v>1</v>
      </c>
      <c r="H13" s="48">
        <f>'[1]26SIAC'!D8</f>
        <v>0.70806133850858621</v>
      </c>
      <c r="I13" s="56">
        <f>H13/G13</f>
        <v>0.70806133850858621</v>
      </c>
      <c r="J13" s="46"/>
      <c r="K13" s="59"/>
      <c r="L13" s="51">
        <v>1</v>
      </c>
      <c r="M13" s="51">
        <f>(0.54+H13)/4</f>
        <v>0.31201533462714659</v>
      </c>
      <c r="N13" s="52">
        <f t="shared" si="0"/>
        <v>0.31201533462714659</v>
      </c>
      <c r="O13" s="60"/>
      <c r="P13" s="61"/>
      <c r="Q13" s="61"/>
      <c r="R13" s="61"/>
      <c r="S13" s="61"/>
      <c r="T13" s="61"/>
      <c r="U13" s="61"/>
      <c r="V13" s="62"/>
    </row>
    <row r="14" spans="1:22" ht="76.5" customHeight="1">
      <c r="A14" s="662"/>
      <c r="B14" s="604"/>
      <c r="C14" s="666"/>
      <c r="D14" s="666"/>
      <c r="E14" s="63" t="s">
        <v>43</v>
      </c>
      <c r="F14" s="46" t="s">
        <v>36</v>
      </c>
      <c r="G14" s="47">
        <v>1</v>
      </c>
      <c r="H14" s="48">
        <v>1</v>
      </c>
      <c r="I14" s="64">
        <f t="shared" si="1"/>
        <v>1</v>
      </c>
      <c r="J14" s="46" t="s">
        <v>37</v>
      </c>
      <c r="K14" s="59"/>
      <c r="L14" s="51">
        <v>1</v>
      </c>
      <c r="M14" s="51">
        <f>0.5+H14</f>
        <v>1.5</v>
      </c>
      <c r="N14" s="52">
        <f t="shared" si="0"/>
        <v>1.5</v>
      </c>
      <c r="O14" s="60"/>
      <c r="P14" s="61"/>
      <c r="Q14" s="61"/>
      <c r="R14" s="61"/>
      <c r="S14" s="61"/>
      <c r="T14" s="61"/>
      <c r="U14" s="61"/>
      <c r="V14" s="62"/>
    </row>
    <row r="15" spans="1:22" ht="27.75" customHeight="1">
      <c r="A15" s="662"/>
      <c r="B15" s="604"/>
      <c r="C15" s="666"/>
      <c r="D15" s="666"/>
      <c r="E15" s="63" t="s">
        <v>44</v>
      </c>
      <c r="F15" s="46" t="s">
        <v>36</v>
      </c>
      <c r="G15" s="47">
        <v>1</v>
      </c>
      <c r="H15" s="48">
        <v>1</v>
      </c>
      <c r="I15" s="64">
        <f t="shared" si="1"/>
        <v>1</v>
      </c>
      <c r="J15" s="46" t="s">
        <v>37</v>
      </c>
      <c r="K15" s="65"/>
      <c r="L15" s="51">
        <v>1</v>
      </c>
      <c r="M15" s="51">
        <f>(1+H15)/4</f>
        <v>0.5</v>
      </c>
      <c r="N15" s="52">
        <f t="shared" si="0"/>
        <v>0.5</v>
      </c>
      <c r="O15" s="60"/>
      <c r="P15" s="61"/>
      <c r="Q15" s="61"/>
      <c r="R15" s="61"/>
      <c r="S15" s="61"/>
      <c r="T15" s="61"/>
      <c r="U15" s="61"/>
      <c r="V15" s="62"/>
    </row>
    <row r="16" spans="1:22" ht="63.75" customHeight="1">
      <c r="A16" s="662"/>
      <c r="B16" s="604"/>
      <c r="C16" s="666"/>
      <c r="D16" s="666"/>
      <c r="E16" s="63" t="s">
        <v>45</v>
      </c>
      <c r="F16" s="46" t="s">
        <v>36</v>
      </c>
      <c r="G16" s="47">
        <v>1</v>
      </c>
      <c r="H16" s="48">
        <v>0.5</v>
      </c>
      <c r="I16" s="64">
        <f t="shared" si="1"/>
        <v>0.5</v>
      </c>
      <c r="J16" s="46" t="s">
        <v>37</v>
      </c>
      <c r="K16" s="59"/>
      <c r="L16" s="51">
        <v>1</v>
      </c>
      <c r="M16" s="51">
        <f>(1+H16)/4</f>
        <v>0.375</v>
      </c>
      <c r="N16" s="66">
        <f t="shared" si="0"/>
        <v>0.375</v>
      </c>
      <c r="O16" s="60"/>
      <c r="P16" s="61"/>
      <c r="Q16" s="61"/>
      <c r="R16" s="61"/>
      <c r="S16" s="61"/>
      <c r="T16" s="61"/>
      <c r="U16" s="61"/>
      <c r="V16" s="62"/>
    </row>
    <row r="17" spans="1:22" ht="24">
      <c r="A17" s="662"/>
      <c r="B17" s="604"/>
      <c r="C17" s="666"/>
      <c r="D17" s="666"/>
      <c r="E17" s="63" t="s">
        <v>46</v>
      </c>
      <c r="F17" s="46" t="s">
        <v>36</v>
      </c>
      <c r="G17" s="47">
        <v>1</v>
      </c>
      <c r="H17" s="48">
        <v>1</v>
      </c>
      <c r="I17" s="56">
        <f>H17/G17</f>
        <v>1</v>
      </c>
      <c r="J17" s="46" t="s">
        <v>37</v>
      </c>
      <c r="K17" s="65"/>
      <c r="L17" s="51">
        <v>1</v>
      </c>
      <c r="M17" s="51">
        <f>(1+H17)/4</f>
        <v>0.5</v>
      </c>
      <c r="N17" s="66">
        <f t="shared" si="0"/>
        <v>0.5</v>
      </c>
      <c r="O17" s="60"/>
      <c r="P17" s="61"/>
      <c r="Q17" s="61"/>
      <c r="R17" s="61"/>
      <c r="S17" s="61"/>
      <c r="T17" s="61"/>
      <c r="U17" s="61"/>
      <c r="V17" s="62"/>
    </row>
    <row r="18" spans="1:22" ht="28.5" customHeight="1" thickBot="1">
      <c r="A18" s="662"/>
      <c r="B18" s="604"/>
      <c r="C18" s="666"/>
      <c r="D18" s="666"/>
      <c r="E18" s="67" t="s">
        <v>47</v>
      </c>
      <c r="F18" s="68" t="s">
        <v>36</v>
      </c>
      <c r="G18" s="69">
        <v>0.27029999999999998</v>
      </c>
      <c r="H18" s="70">
        <v>0.18920000000000001</v>
      </c>
      <c r="I18" s="71">
        <f>H18/G18</f>
        <v>0.69996300406955236</v>
      </c>
      <c r="J18" s="68" t="s">
        <v>37</v>
      </c>
      <c r="K18" s="72"/>
      <c r="L18" s="73">
        <v>1</v>
      </c>
      <c r="M18" s="73">
        <f>0.19+H18</f>
        <v>0.37919999999999998</v>
      </c>
      <c r="N18" s="74">
        <f t="shared" si="0"/>
        <v>0.37919999999999998</v>
      </c>
      <c r="O18" s="75"/>
      <c r="P18" s="76"/>
      <c r="Q18" s="76"/>
      <c r="R18" s="76"/>
      <c r="S18" s="76"/>
      <c r="T18" s="76"/>
      <c r="U18" s="76"/>
      <c r="V18" s="77"/>
    </row>
    <row r="19" spans="1:22" ht="13.5" customHeight="1" thickBot="1">
      <c r="A19" s="662"/>
      <c r="B19" s="604"/>
      <c r="C19" s="666"/>
      <c r="D19" s="669"/>
      <c r="E19" s="596" t="s">
        <v>48</v>
      </c>
      <c r="F19" s="597"/>
      <c r="G19" s="597"/>
      <c r="H19" s="598"/>
      <c r="I19" s="13">
        <f>(I20+I21+I22+I23+I24)/5</f>
        <v>0.96006097560975623</v>
      </c>
      <c r="J19" s="78"/>
      <c r="K19" s="79"/>
      <c r="L19" s="80"/>
      <c r="M19" s="81"/>
      <c r="N19" s="82">
        <f>(N20+N21+N22+N23+N24)/5</f>
        <v>0.51241666666666663</v>
      </c>
      <c r="O19" s="83">
        <v>8.3000000000000004E-2</v>
      </c>
      <c r="P19" s="84">
        <f>'[1]Anexo 5-2 Gastos'!K29</f>
        <v>157628995</v>
      </c>
      <c r="Q19" s="85">
        <f>'[1]Anexo 5-2 Gastos'!L29</f>
        <v>135928332</v>
      </c>
      <c r="R19" s="86">
        <f>Q19/P19</f>
        <v>0.86233076598629588</v>
      </c>
      <c r="S19" s="31">
        <f>187999197+207331988+224901010+244115723</f>
        <v>864347918</v>
      </c>
      <c r="T19" s="87">
        <f>12450699562+P19</f>
        <v>12608328557</v>
      </c>
      <c r="U19" s="88">
        <f>T19/S19</f>
        <v>14.587098892045923</v>
      </c>
      <c r="V19" s="89"/>
    </row>
    <row r="20" spans="1:22" ht="85.5" customHeight="1">
      <c r="A20" s="662"/>
      <c r="B20" s="604"/>
      <c r="C20" s="666"/>
      <c r="D20" s="666"/>
      <c r="E20" s="90" t="s">
        <v>49</v>
      </c>
      <c r="F20" s="35" t="s">
        <v>36</v>
      </c>
      <c r="G20" s="36">
        <v>1</v>
      </c>
      <c r="H20" s="37">
        <f>'[1]7Clima'!D8</f>
        <v>1</v>
      </c>
      <c r="I20" s="36">
        <f>H20/G20</f>
        <v>1</v>
      </c>
      <c r="J20" s="35"/>
      <c r="K20" s="35"/>
      <c r="L20" s="40">
        <v>1</v>
      </c>
      <c r="M20" s="40">
        <f>(0.69+H20)/4</f>
        <v>0.42249999999999999</v>
      </c>
      <c r="N20" s="91">
        <f t="shared" si="0"/>
        <v>0.42249999999999999</v>
      </c>
      <c r="O20" s="92"/>
      <c r="P20" s="93"/>
      <c r="Q20" s="93"/>
      <c r="R20" s="93"/>
      <c r="S20" s="93"/>
      <c r="T20" s="93"/>
      <c r="U20" s="93"/>
      <c r="V20" s="94"/>
    </row>
    <row r="21" spans="1:22" ht="31.5" customHeight="1">
      <c r="A21" s="662"/>
      <c r="B21" s="604"/>
      <c r="C21" s="666"/>
      <c r="D21" s="666"/>
      <c r="E21" s="95" t="s">
        <v>50</v>
      </c>
      <c r="F21" s="46" t="s">
        <v>36</v>
      </c>
      <c r="G21" s="47">
        <v>0.82</v>
      </c>
      <c r="H21" s="48">
        <f>'[1]25Redes'!D8</f>
        <v>0.65625</v>
      </c>
      <c r="I21" s="47">
        <f t="shared" ref="I21:I24" si="2">H21/G21</f>
        <v>0.80030487804878059</v>
      </c>
      <c r="J21" s="46"/>
      <c r="K21" s="46"/>
      <c r="L21" s="51">
        <v>1</v>
      </c>
      <c r="M21" s="51">
        <f>0.15+H21</f>
        <v>0.80625000000000002</v>
      </c>
      <c r="N21" s="66">
        <f t="shared" si="0"/>
        <v>0.80625000000000002</v>
      </c>
      <c r="O21" s="96"/>
      <c r="P21" s="97"/>
      <c r="Q21" s="97"/>
      <c r="R21" s="97"/>
      <c r="S21" s="97"/>
      <c r="T21" s="97"/>
      <c r="U21" s="97"/>
      <c r="V21" s="98"/>
    </row>
    <row r="22" spans="1:22" ht="44.25" customHeight="1">
      <c r="A22" s="662"/>
      <c r="B22" s="604"/>
      <c r="C22" s="666"/>
      <c r="D22" s="666"/>
      <c r="E22" s="99" t="s">
        <v>51</v>
      </c>
      <c r="F22" s="46" t="s">
        <v>36</v>
      </c>
      <c r="G22" s="47">
        <v>0.3</v>
      </c>
      <c r="H22" s="48">
        <v>0.3</v>
      </c>
      <c r="I22" s="47">
        <f t="shared" si="2"/>
        <v>1</v>
      </c>
      <c r="J22" s="46"/>
      <c r="K22" s="46"/>
      <c r="L22" s="51">
        <v>1</v>
      </c>
      <c r="M22" s="51">
        <f>0.2+H22</f>
        <v>0.5</v>
      </c>
      <c r="N22" s="66">
        <f t="shared" si="0"/>
        <v>0.5</v>
      </c>
      <c r="O22" s="60"/>
      <c r="P22" s="61"/>
      <c r="Q22" s="61"/>
      <c r="R22" s="61"/>
      <c r="S22" s="61"/>
      <c r="T22" s="61"/>
      <c r="U22" s="61"/>
      <c r="V22" s="62"/>
    </row>
    <row r="23" spans="1:22" ht="52.5" customHeight="1">
      <c r="A23" s="662"/>
      <c r="B23" s="604"/>
      <c r="C23" s="666"/>
      <c r="D23" s="666"/>
      <c r="E23" s="99" t="s">
        <v>52</v>
      </c>
      <c r="F23" s="46" t="s">
        <v>53</v>
      </c>
      <c r="G23" s="46">
        <v>2</v>
      </c>
      <c r="H23" s="100">
        <v>2</v>
      </c>
      <c r="I23" s="47">
        <f t="shared" si="2"/>
        <v>1</v>
      </c>
      <c r="J23" s="46"/>
      <c r="K23" s="46"/>
      <c r="L23" s="101">
        <v>6</v>
      </c>
      <c r="M23" s="101">
        <f>0+H23</f>
        <v>2</v>
      </c>
      <c r="N23" s="66">
        <f t="shared" si="0"/>
        <v>0.33333333333333331</v>
      </c>
      <c r="O23" s="60"/>
      <c r="P23" s="61"/>
      <c r="Q23" s="61"/>
      <c r="R23" s="61"/>
      <c r="S23" s="61"/>
      <c r="T23" s="61"/>
      <c r="U23" s="61"/>
      <c r="V23" s="62"/>
    </row>
    <row r="24" spans="1:22" ht="51.75" customHeight="1" thickBot="1">
      <c r="A24" s="662"/>
      <c r="B24" s="605"/>
      <c r="C24" s="667"/>
      <c r="D24" s="667"/>
      <c r="E24" s="102" t="s">
        <v>54</v>
      </c>
      <c r="F24" s="68" t="s">
        <v>36</v>
      </c>
      <c r="G24" s="69">
        <v>0.3</v>
      </c>
      <c r="H24" s="70">
        <v>0.3</v>
      </c>
      <c r="I24" s="69">
        <f t="shared" si="2"/>
        <v>1</v>
      </c>
      <c r="J24" s="68"/>
      <c r="K24" s="68"/>
      <c r="L24" s="73">
        <v>1</v>
      </c>
      <c r="M24" s="73">
        <f>0.2+H24</f>
        <v>0.5</v>
      </c>
      <c r="N24" s="74">
        <f t="shared" si="0"/>
        <v>0.5</v>
      </c>
      <c r="O24" s="75"/>
      <c r="P24" s="76"/>
      <c r="Q24" s="76"/>
      <c r="R24" s="76"/>
      <c r="S24" s="76"/>
      <c r="T24" s="76"/>
      <c r="U24" s="76"/>
      <c r="V24" s="77"/>
    </row>
    <row r="25" spans="1:22" ht="13.5" customHeight="1" thickBot="1">
      <c r="A25" s="662"/>
      <c r="B25" s="591" t="s">
        <v>55</v>
      </c>
      <c r="C25" s="594"/>
      <c r="D25" s="595" t="s">
        <v>56</v>
      </c>
      <c r="E25" s="596" t="s">
        <v>57</v>
      </c>
      <c r="F25" s="597"/>
      <c r="G25" s="597"/>
      <c r="H25" s="598"/>
      <c r="I25" s="13">
        <f>(I27+I28)/2</f>
        <v>1</v>
      </c>
      <c r="J25" s="103"/>
      <c r="K25" s="13"/>
      <c r="L25" s="82"/>
      <c r="M25" s="23"/>
      <c r="N25" s="82">
        <f>(N26+N27+N28+N29)/4</f>
        <v>0.63240740740740742</v>
      </c>
      <c r="O25" s="83">
        <v>5.6800000000000003E-2</v>
      </c>
      <c r="P25" s="84">
        <f>'[1]Anexo 5-2 Gastos'!K30</f>
        <v>161484366</v>
      </c>
      <c r="Q25" s="85">
        <f>'[1]Anexo 5-2 Gastos'!L30</f>
        <v>158945730</v>
      </c>
      <c r="R25" s="104">
        <f>Q25/P25</f>
        <v>0.98427936980599096</v>
      </c>
      <c r="S25" s="31">
        <f>166566316+184682954+201385081+219388889</f>
        <v>772023240</v>
      </c>
      <c r="T25" s="87">
        <f>170833316+P25</f>
        <v>332317682</v>
      </c>
      <c r="U25" s="88">
        <f>T25/S25</f>
        <v>0.43045036053577868</v>
      </c>
      <c r="V25" s="89"/>
    </row>
    <row r="26" spans="1:22" ht="36">
      <c r="A26" s="662"/>
      <c r="B26" s="592"/>
      <c r="C26" s="594"/>
      <c r="D26" s="592"/>
      <c r="E26" s="105" t="s">
        <v>58</v>
      </c>
      <c r="F26" s="35" t="s">
        <v>59</v>
      </c>
      <c r="G26" s="106">
        <v>0</v>
      </c>
      <c r="H26" s="107">
        <v>0</v>
      </c>
      <c r="I26" s="108" t="s">
        <v>39</v>
      </c>
      <c r="J26" s="109"/>
      <c r="K26" s="109"/>
      <c r="L26" s="110">
        <v>2</v>
      </c>
      <c r="M26" s="111">
        <f>1+H26</f>
        <v>1</v>
      </c>
      <c r="N26" s="91">
        <f>M26/L26</f>
        <v>0.5</v>
      </c>
      <c r="O26" s="112"/>
      <c r="P26" s="113"/>
      <c r="Q26" s="113"/>
      <c r="R26" s="114"/>
      <c r="S26" s="115"/>
      <c r="T26" s="115"/>
      <c r="U26" s="115"/>
      <c r="V26" s="94"/>
    </row>
    <row r="27" spans="1:22" ht="24">
      <c r="A27" s="662"/>
      <c r="B27" s="592"/>
      <c r="C27" s="594"/>
      <c r="D27" s="592"/>
      <c r="E27" s="63" t="s">
        <v>60</v>
      </c>
      <c r="F27" s="46" t="s">
        <v>36</v>
      </c>
      <c r="G27" s="116">
        <v>1</v>
      </c>
      <c r="H27" s="48">
        <v>1</v>
      </c>
      <c r="I27" s="56">
        <f>H27/G27</f>
        <v>1</v>
      </c>
      <c r="J27" s="117" t="s">
        <v>37</v>
      </c>
      <c r="K27" s="117"/>
      <c r="L27" s="51">
        <v>1</v>
      </c>
      <c r="M27" s="51">
        <f>(1+H27)/4</f>
        <v>0.5</v>
      </c>
      <c r="N27" s="66">
        <f>M27/L27</f>
        <v>0.5</v>
      </c>
      <c r="O27" s="118"/>
      <c r="P27" s="119"/>
      <c r="Q27" s="119"/>
      <c r="R27" s="120"/>
      <c r="S27" s="121"/>
      <c r="T27" s="121"/>
      <c r="U27" s="121"/>
      <c r="V27" s="62"/>
    </row>
    <row r="28" spans="1:22" ht="24">
      <c r="A28" s="662"/>
      <c r="B28" s="592"/>
      <c r="C28" s="594"/>
      <c r="D28" s="592"/>
      <c r="E28" s="63" t="s">
        <v>61</v>
      </c>
      <c r="F28" s="46" t="s">
        <v>59</v>
      </c>
      <c r="G28" s="122">
        <v>8</v>
      </c>
      <c r="H28" s="123">
        <v>11</v>
      </c>
      <c r="I28" s="56">
        <v>1</v>
      </c>
      <c r="J28" s="117" t="s">
        <v>37</v>
      </c>
      <c r="K28" s="117"/>
      <c r="L28" s="124">
        <v>27</v>
      </c>
      <c r="M28" s="101">
        <f>6+H28</f>
        <v>17</v>
      </c>
      <c r="N28" s="66">
        <f>M28/L28</f>
        <v>0.62962962962962965</v>
      </c>
      <c r="O28" s="118"/>
      <c r="P28" s="119"/>
      <c r="Q28" s="119"/>
      <c r="R28" s="120"/>
      <c r="S28" s="121"/>
      <c r="T28" s="121"/>
      <c r="U28" s="121"/>
      <c r="V28" s="62"/>
    </row>
    <row r="29" spans="1:22" ht="52.5" customHeight="1" thickBot="1">
      <c r="A29" s="662"/>
      <c r="B29" s="593"/>
      <c r="C29" s="594"/>
      <c r="D29" s="593"/>
      <c r="E29" s="125" t="s">
        <v>62</v>
      </c>
      <c r="F29" s="68" t="s">
        <v>59</v>
      </c>
      <c r="G29" s="126">
        <v>0</v>
      </c>
      <c r="H29" s="127">
        <v>0</v>
      </c>
      <c r="I29" s="56" t="s">
        <v>39</v>
      </c>
      <c r="J29" s="128"/>
      <c r="K29" s="128"/>
      <c r="L29" s="129">
        <v>50</v>
      </c>
      <c r="M29" s="130">
        <f>45+H29</f>
        <v>45</v>
      </c>
      <c r="N29" s="74">
        <f>M29/L29</f>
        <v>0.9</v>
      </c>
      <c r="O29" s="131"/>
      <c r="P29" s="132"/>
      <c r="Q29" s="132"/>
      <c r="R29" s="133"/>
      <c r="S29" s="134"/>
      <c r="T29" s="134"/>
      <c r="U29" s="134"/>
      <c r="V29" s="77"/>
    </row>
    <row r="30" spans="1:22" ht="13.5" customHeight="1" thickBot="1">
      <c r="A30" s="662"/>
      <c r="B30" s="135"/>
      <c r="C30" s="599" t="s">
        <v>31</v>
      </c>
      <c r="D30" s="602" t="s">
        <v>63</v>
      </c>
      <c r="E30" s="606" t="s">
        <v>64</v>
      </c>
      <c r="F30" s="607"/>
      <c r="G30" s="607"/>
      <c r="H30" s="608"/>
      <c r="I30" s="136">
        <f>(+I35+I36+I38+I41+I42+I43+I44+I45+I46+I47)/10</f>
        <v>0.85769230769230764</v>
      </c>
      <c r="J30" s="137"/>
      <c r="K30" s="138"/>
      <c r="L30" s="139"/>
      <c r="M30" s="140"/>
      <c r="N30" s="141">
        <f>(N32+N33+N34+N35+N36+N37+N38+N39+N41+N42+N43+N44+N45+N46+N47)/15</f>
        <v>0.57427407407407405</v>
      </c>
      <c r="O30" s="142">
        <f>O31+O40</f>
        <v>0.13537117910000002</v>
      </c>
      <c r="P30" s="17">
        <f>P31+P40</f>
        <v>3216257226</v>
      </c>
      <c r="Q30" s="143">
        <f>Q31+Q40</f>
        <v>2716248050.5</v>
      </c>
      <c r="R30" s="144">
        <f>Q30/P30</f>
        <v>0.84453694453977113</v>
      </c>
      <c r="S30" s="17">
        <f>S31+S40</f>
        <v>4899586806</v>
      </c>
      <c r="T30" s="16">
        <f>T31+T40</f>
        <v>4798475925</v>
      </c>
      <c r="U30" s="19">
        <f>T30/S30</f>
        <v>0.97936338613774931</v>
      </c>
      <c r="V30" s="20"/>
    </row>
    <row r="31" spans="1:22" ht="25.5" customHeight="1" thickBot="1">
      <c r="A31" s="662"/>
      <c r="B31" s="145"/>
      <c r="C31" s="600"/>
      <c r="D31" s="603"/>
      <c r="E31" s="596" t="s">
        <v>65</v>
      </c>
      <c r="F31" s="597"/>
      <c r="G31" s="597"/>
      <c r="H31" s="598"/>
      <c r="I31" s="13">
        <f>(I35+I36+I38)/3</f>
        <v>0.66666666666666663</v>
      </c>
      <c r="J31" s="146"/>
      <c r="K31" s="147"/>
      <c r="L31" s="148"/>
      <c r="M31" s="149"/>
      <c r="N31" s="150">
        <f>SUM(N32+N33+N34+N35+N36+N37+N38+N39)/8</f>
        <v>0.23509722222222224</v>
      </c>
      <c r="O31" s="83">
        <v>7.4235807900000006E-2</v>
      </c>
      <c r="P31" s="30">
        <f>'[1]Anexo 5-2 Gastos'!K32</f>
        <v>2562463147</v>
      </c>
      <c r="Q31" s="31">
        <f>'[1]Anexo 5-2 Gastos'!L32</f>
        <v>2111149154.5</v>
      </c>
      <c r="R31" s="19">
        <f>Q31/P31</f>
        <v>0.82387493337089546</v>
      </c>
      <c r="S31" s="30">
        <f>633220535+665861382+742515208+832384944</f>
        <v>2873982069</v>
      </c>
      <c r="T31" s="31">
        <f>1106008699+P31</f>
        <v>3668471846</v>
      </c>
      <c r="U31" s="32">
        <f>T31/S31</f>
        <v>1.2764421481851633</v>
      </c>
      <c r="V31" s="33"/>
    </row>
    <row r="32" spans="1:22" ht="51.75" customHeight="1">
      <c r="A32" s="662"/>
      <c r="B32" s="145"/>
      <c r="C32" s="600"/>
      <c r="D32" s="604"/>
      <c r="E32" s="90" t="s">
        <v>66</v>
      </c>
      <c r="F32" s="35" t="s">
        <v>36</v>
      </c>
      <c r="G32" s="36">
        <v>0.1666</v>
      </c>
      <c r="H32" s="151" t="str">
        <f>'[1]2PORH'!D8</f>
        <v>SIN INFORMACION</v>
      </c>
      <c r="I32" s="152" t="s">
        <v>39</v>
      </c>
      <c r="J32" s="153"/>
      <c r="K32" s="50" t="s">
        <v>40</v>
      </c>
      <c r="L32" s="40">
        <v>0.33</v>
      </c>
      <c r="M32" s="40">
        <f>0%</f>
        <v>0</v>
      </c>
      <c r="N32" s="91">
        <f>M32/L32</f>
        <v>0</v>
      </c>
      <c r="O32" s="92"/>
      <c r="P32" s="93"/>
      <c r="Q32" s="93"/>
      <c r="R32" s="93"/>
      <c r="S32" s="93"/>
      <c r="T32" s="93"/>
      <c r="U32" s="93"/>
      <c r="V32" s="154"/>
    </row>
    <row r="33" spans="1:22" ht="36.75" customHeight="1">
      <c r="A33" s="662"/>
      <c r="B33" s="145"/>
      <c r="C33" s="600"/>
      <c r="D33" s="604"/>
      <c r="E33" s="99" t="s">
        <v>67</v>
      </c>
      <c r="F33" s="46" t="s">
        <v>36</v>
      </c>
      <c r="G33" s="47">
        <v>0</v>
      </c>
      <c r="H33" s="48">
        <v>0</v>
      </c>
      <c r="I33" s="155" t="s">
        <v>39</v>
      </c>
      <c r="J33" s="156"/>
      <c r="K33" s="46"/>
      <c r="L33" s="51">
        <v>0.1666</v>
      </c>
      <c r="M33" s="51">
        <f>0%+H33</f>
        <v>0</v>
      </c>
      <c r="N33" s="66">
        <f t="shared" ref="N33:N39" si="3">M33/L33</f>
        <v>0</v>
      </c>
      <c r="O33" s="60"/>
      <c r="P33" s="61"/>
      <c r="Q33" s="61"/>
      <c r="R33" s="61"/>
      <c r="S33" s="61"/>
      <c r="T33" s="61"/>
      <c r="U33" s="61"/>
      <c r="V33" s="77"/>
    </row>
    <row r="34" spans="1:22" ht="36">
      <c r="A34" s="662"/>
      <c r="B34" s="145"/>
      <c r="C34" s="600"/>
      <c r="D34" s="604"/>
      <c r="E34" s="95" t="s">
        <v>68</v>
      </c>
      <c r="F34" s="46" t="s">
        <v>36</v>
      </c>
      <c r="G34" s="47">
        <v>0</v>
      </c>
      <c r="H34" s="48" t="str">
        <f>'[1]4UsoAguas'!D8</f>
        <v>SIN INFORMACION</v>
      </c>
      <c r="I34" s="155" t="s">
        <v>39</v>
      </c>
      <c r="J34" s="156"/>
      <c r="K34" s="50" t="s">
        <v>40</v>
      </c>
      <c r="L34" s="51">
        <v>8.3299999999999999E-2</v>
      </c>
      <c r="M34" s="51">
        <f>0%+0%</f>
        <v>0</v>
      </c>
      <c r="N34" s="66">
        <f t="shared" si="3"/>
        <v>0</v>
      </c>
      <c r="O34" s="60"/>
      <c r="P34" s="61"/>
      <c r="Q34" s="61"/>
      <c r="R34" s="61"/>
      <c r="S34" s="61"/>
      <c r="T34" s="61"/>
      <c r="U34" s="61"/>
      <c r="V34" s="77"/>
    </row>
    <row r="35" spans="1:22" ht="24">
      <c r="A35" s="662"/>
      <c r="B35" s="145"/>
      <c r="C35" s="600"/>
      <c r="D35" s="604"/>
      <c r="E35" s="99" t="s">
        <v>69</v>
      </c>
      <c r="F35" s="46" t="s">
        <v>36</v>
      </c>
      <c r="G35" s="47">
        <v>0.8</v>
      </c>
      <c r="H35" s="48">
        <v>0.8</v>
      </c>
      <c r="I35" s="157">
        <f t="shared" ref="I35:I38" si="4">H35/G35</f>
        <v>1</v>
      </c>
      <c r="J35" s="156"/>
      <c r="K35" s="46"/>
      <c r="L35" s="51">
        <v>0.9</v>
      </c>
      <c r="M35" s="51">
        <f>0.185+H35</f>
        <v>0.9850000000000001</v>
      </c>
      <c r="N35" s="66">
        <f t="shared" si="3"/>
        <v>1.0944444444444446</v>
      </c>
      <c r="O35" s="60"/>
      <c r="P35" s="61"/>
      <c r="Q35" s="61"/>
      <c r="R35" s="61"/>
      <c r="S35" s="61"/>
      <c r="T35" s="61"/>
      <c r="U35" s="61"/>
      <c r="V35" s="158"/>
    </row>
    <row r="36" spans="1:22" ht="63.75" customHeight="1">
      <c r="A36" s="662"/>
      <c r="B36" s="145"/>
      <c r="C36" s="600"/>
      <c r="D36" s="604"/>
      <c r="E36" s="99" t="s">
        <v>70</v>
      </c>
      <c r="F36" s="46" t="s">
        <v>59</v>
      </c>
      <c r="G36" s="46">
        <v>3000</v>
      </c>
      <c r="H36" s="100">
        <v>4460</v>
      </c>
      <c r="I36" s="157">
        <v>1</v>
      </c>
      <c r="J36" s="156"/>
      <c r="K36" s="46"/>
      <c r="L36" s="101">
        <v>12000</v>
      </c>
      <c r="M36" s="101">
        <f>4976+H36</f>
        <v>9436</v>
      </c>
      <c r="N36" s="66">
        <f t="shared" si="3"/>
        <v>0.78633333333333333</v>
      </c>
      <c r="O36" s="60"/>
      <c r="P36" s="61"/>
      <c r="Q36" s="61"/>
      <c r="R36" s="61"/>
      <c r="S36" s="61"/>
      <c r="T36" s="61"/>
      <c r="U36" s="61"/>
      <c r="V36" s="159"/>
    </row>
    <row r="37" spans="1:22" ht="37.5" customHeight="1">
      <c r="A37" s="662"/>
      <c r="B37" s="145"/>
      <c r="C37" s="600"/>
      <c r="D37" s="604"/>
      <c r="E37" s="99" t="s">
        <v>71</v>
      </c>
      <c r="F37" s="46" t="s">
        <v>59</v>
      </c>
      <c r="G37" s="46">
        <v>0</v>
      </c>
      <c r="H37" s="100">
        <v>0</v>
      </c>
      <c r="I37" s="157" t="s">
        <v>39</v>
      </c>
      <c r="J37" s="156"/>
      <c r="K37" s="50" t="s">
        <v>40</v>
      </c>
      <c r="L37" s="101">
        <v>4</v>
      </c>
      <c r="M37" s="101">
        <f>0+H37</f>
        <v>0</v>
      </c>
      <c r="N37" s="160">
        <f>M37/L37</f>
        <v>0</v>
      </c>
      <c r="O37" s="60"/>
      <c r="P37" s="61"/>
      <c r="Q37" s="61"/>
      <c r="R37" s="61"/>
      <c r="S37" s="61"/>
      <c r="T37" s="61"/>
      <c r="U37" s="161"/>
      <c r="V37" s="61"/>
    </row>
    <row r="38" spans="1:22" ht="88.5" customHeight="1">
      <c r="A38" s="662"/>
      <c r="B38" s="145"/>
      <c r="C38" s="600"/>
      <c r="D38" s="604"/>
      <c r="E38" s="99" t="s">
        <v>72</v>
      </c>
      <c r="F38" s="46" t="s">
        <v>73</v>
      </c>
      <c r="G38" s="46">
        <v>3</v>
      </c>
      <c r="H38" s="100">
        <v>0</v>
      </c>
      <c r="I38" s="157">
        <f t="shared" si="4"/>
        <v>0</v>
      </c>
      <c r="J38" s="162"/>
      <c r="K38" s="156" t="s">
        <v>74</v>
      </c>
      <c r="L38" s="101">
        <v>13</v>
      </c>
      <c r="M38" s="101">
        <f>0+H38</f>
        <v>0</v>
      </c>
      <c r="N38" s="66">
        <f t="shared" si="3"/>
        <v>0</v>
      </c>
      <c r="O38" s="60"/>
      <c r="P38" s="61"/>
      <c r="Q38" s="61"/>
      <c r="R38" s="61"/>
      <c r="S38" s="61"/>
      <c r="T38" s="61"/>
      <c r="U38" s="161"/>
      <c r="V38" s="61"/>
    </row>
    <row r="39" spans="1:22" ht="24.75" thickBot="1">
      <c r="A39" s="662"/>
      <c r="B39" s="145"/>
      <c r="C39" s="600"/>
      <c r="D39" s="604"/>
      <c r="E39" s="102" t="s">
        <v>75</v>
      </c>
      <c r="F39" s="68" t="s">
        <v>59</v>
      </c>
      <c r="G39" s="68">
        <v>0</v>
      </c>
      <c r="H39" s="163">
        <v>0</v>
      </c>
      <c r="I39" s="157" t="s">
        <v>39</v>
      </c>
      <c r="J39" s="164"/>
      <c r="K39" s="50" t="s">
        <v>40</v>
      </c>
      <c r="L39" s="130">
        <v>1</v>
      </c>
      <c r="M39" s="130">
        <f>0+H39</f>
        <v>0</v>
      </c>
      <c r="N39" s="74">
        <f t="shared" si="3"/>
        <v>0</v>
      </c>
      <c r="O39" s="75"/>
      <c r="P39" s="76"/>
      <c r="Q39" s="76"/>
      <c r="R39" s="76"/>
      <c r="S39" s="76"/>
      <c r="T39" s="76"/>
      <c r="U39" s="76"/>
      <c r="V39" s="77"/>
    </row>
    <row r="40" spans="1:22" ht="15.75" customHeight="1" thickBot="1">
      <c r="A40" s="662"/>
      <c r="B40" s="145"/>
      <c r="C40" s="600"/>
      <c r="D40" s="603"/>
      <c r="E40" s="615" t="s">
        <v>76</v>
      </c>
      <c r="F40" s="616"/>
      <c r="G40" s="616"/>
      <c r="H40" s="617"/>
      <c r="I40" s="165">
        <f>(I41+I42+I43+I44+I45+I46+I47)/7</f>
        <v>0.93956043956043955</v>
      </c>
      <c r="J40" s="166"/>
      <c r="K40" s="167"/>
      <c r="L40" s="168"/>
      <c r="M40" s="169"/>
      <c r="N40" s="170">
        <f>(N41+N42+N43+N44+N45+N46+N47)/7</f>
        <v>0.96190476190476193</v>
      </c>
      <c r="O40" s="171">
        <v>6.1135371199999997E-2</v>
      </c>
      <c r="P40" s="31">
        <f>'[1]Anexo 5-2 Gastos'!K33</f>
        <v>653794079</v>
      </c>
      <c r="Q40" s="31">
        <f>'[1]Anexo 5-2 Gastos'!L33</f>
        <v>605098896</v>
      </c>
      <c r="R40" s="104">
        <f>Q40/P40</f>
        <v>0.92551908228584612</v>
      </c>
      <c r="S40" s="31">
        <f>450208494+451456834+521996964+601942445</f>
        <v>2025604737</v>
      </c>
      <c r="T40" s="87">
        <f>476210000+P40</f>
        <v>1130004079</v>
      </c>
      <c r="U40" s="88">
        <f>T40/S40</f>
        <v>0.55786010881549397</v>
      </c>
      <c r="V40" s="172"/>
    </row>
    <row r="41" spans="1:22" ht="61.5" customHeight="1">
      <c r="A41" s="662"/>
      <c r="B41" s="145"/>
      <c r="C41" s="600"/>
      <c r="D41" s="604"/>
      <c r="E41" s="173" t="s">
        <v>77</v>
      </c>
      <c r="F41" s="35" t="s">
        <v>59</v>
      </c>
      <c r="G41" s="35">
        <v>52</v>
      </c>
      <c r="H41" s="174">
        <v>42</v>
      </c>
      <c r="I41" s="108">
        <f>H41/G41</f>
        <v>0.80769230769230771</v>
      </c>
      <c r="J41" s="35" t="s">
        <v>37</v>
      </c>
      <c r="K41" s="35"/>
      <c r="L41" s="111">
        <v>60</v>
      </c>
      <c r="M41" s="111">
        <f>(34+H41)</f>
        <v>76</v>
      </c>
      <c r="N41" s="41">
        <v>1</v>
      </c>
      <c r="O41" s="92"/>
      <c r="P41" s="93"/>
      <c r="Q41" s="93"/>
      <c r="R41" s="93"/>
      <c r="S41" s="93"/>
      <c r="T41" s="93"/>
      <c r="U41" s="93"/>
      <c r="V41" s="175"/>
    </row>
    <row r="42" spans="1:22" ht="63" customHeight="1">
      <c r="A42" s="662"/>
      <c r="B42" s="145"/>
      <c r="C42" s="600"/>
      <c r="D42" s="604"/>
      <c r="E42" s="176" t="s">
        <v>78</v>
      </c>
      <c r="F42" s="177" t="s">
        <v>59</v>
      </c>
      <c r="G42" s="178">
        <v>30</v>
      </c>
      <c r="H42" s="179">
        <v>30</v>
      </c>
      <c r="I42" s="108">
        <f>H42/G42</f>
        <v>1</v>
      </c>
      <c r="J42" s="35" t="s">
        <v>37</v>
      </c>
      <c r="K42" s="46"/>
      <c r="L42" s="180">
        <v>36</v>
      </c>
      <c r="M42" s="180">
        <f>28+H42</f>
        <v>58</v>
      </c>
      <c r="N42" s="52">
        <v>1</v>
      </c>
      <c r="O42" s="60"/>
      <c r="P42" s="61"/>
      <c r="Q42" s="61"/>
      <c r="R42" s="61"/>
      <c r="S42" s="61"/>
      <c r="T42" s="61"/>
      <c r="U42" s="61"/>
      <c r="V42" s="181"/>
    </row>
    <row r="43" spans="1:22" ht="41.25" customHeight="1">
      <c r="A43" s="662"/>
      <c r="B43" s="145"/>
      <c r="C43" s="600"/>
      <c r="D43" s="604"/>
      <c r="E43" s="176" t="s">
        <v>79</v>
      </c>
      <c r="F43" s="46" t="s">
        <v>59</v>
      </c>
      <c r="G43" s="46">
        <v>27</v>
      </c>
      <c r="H43" s="100">
        <v>27</v>
      </c>
      <c r="I43" s="56">
        <f t="shared" ref="I43:I47" si="5">H43/G43</f>
        <v>1</v>
      </c>
      <c r="J43" s="35" t="s">
        <v>37</v>
      </c>
      <c r="K43" s="46"/>
      <c r="L43" s="101">
        <v>27</v>
      </c>
      <c r="M43" s="101">
        <f>23+H43</f>
        <v>50</v>
      </c>
      <c r="N43" s="52">
        <v>1</v>
      </c>
      <c r="O43" s="60"/>
      <c r="P43" s="61"/>
      <c r="Q43" s="61"/>
      <c r="R43" s="61"/>
      <c r="S43" s="61"/>
      <c r="T43" s="61"/>
      <c r="U43" s="61"/>
      <c r="V43" s="181"/>
    </row>
    <row r="44" spans="1:22" ht="60">
      <c r="A44" s="662"/>
      <c r="B44" s="145"/>
      <c r="C44" s="600"/>
      <c r="D44" s="604"/>
      <c r="E44" s="176" t="s">
        <v>80</v>
      </c>
      <c r="F44" s="46" t="s">
        <v>59</v>
      </c>
      <c r="G44" s="46">
        <v>25</v>
      </c>
      <c r="H44" s="100">
        <v>25</v>
      </c>
      <c r="I44" s="56">
        <f t="shared" si="5"/>
        <v>1</v>
      </c>
      <c r="J44" s="35" t="s">
        <v>37</v>
      </c>
      <c r="K44" s="46"/>
      <c r="L44" s="101">
        <v>25</v>
      </c>
      <c r="M44" s="101">
        <f>22+H44</f>
        <v>47</v>
      </c>
      <c r="N44" s="52">
        <v>1</v>
      </c>
      <c r="O44" s="60"/>
      <c r="P44" s="61"/>
      <c r="Q44" s="61"/>
      <c r="R44" s="61"/>
      <c r="S44" s="61"/>
      <c r="T44" s="61"/>
      <c r="U44" s="61"/>
      <c r="V44" s="181"/>
    </row>
    <row r="45" spans="1:22" ht="48">
      <c r="A45" s="662"/>
      <c r="B45" s="145"/>
      <c r="C45" s="600"/>
      <c r="D45" s="604"/>
      <c r="E45" s="176" t="s">
        <v>81</v>
      </c>
      <c r="F45" s="47" t="s">
        <v>59</v>
      </c>
      <c r="G45" s="178">
        <v>52</v>
      </c>
      <c r="H45" s="179">
        <v>40</v>
      </c>
      <c r="I45" s="47">
        <f t="shared" si="5"/>
        <v>0.76923076923076927</v>
      </c>
      <c r="J45" s="35" t="s">
        <v>37</v>
      </c>
      <c r="K45" s="46"/>
      <c r="L45" s="180">
        <v>60</v>
      </c>
      <c r="M45" s="180">
        <f>34+H45</f>
        <v>74</v>
      </c>
      <c r="N45" s="66">
        <v>1</v>
      </c>
      <c r="O45" s="60"/>
      <c r="P45" s="61"/>
      <c r="Q45" s="61"/>
      <c r="R45" s="61"/>
      <c r="S45" s="61"/>
      <c r="T45" s="61"/>
      <c r="U45" s="61"/>
      <c r="V45" s="181"/>
    </row>
    <row r="46" spans="1:22" ht="36">
      <c r="A46" s="662"/>
      <c r="B46" s="145"/>
      <c r="C46" s="600"/>
      <c r="D46" s="604"/>
      <c r="E46" s="99" t="s">
        <v>82</v>
      </c>
      <c r="F46" s="46" t="s">
        <v>59</v>
      </c>
      <c r="G46" s="46">
        <v>17</v>
      </c>
      <c r="H46" s="100">
        <v>17</v>
      </c>
      <c r="I46" s="56">
        <f t="shared" si="5"/>
        <v>1</v>
      </c>
      <c r="J46" s="35" t="s">
        <v>37</v>
      </c>
      <c r="K46" s="46"/>
      <c r="L46" s="101">
        <v>23</v>
      </c>
      <c r="M46" s="101">
        <f>9+H46</f>
        <v>26</v>
      </c>
      <c r="N46" s="66">
        <v>1</v>
      </c>
      <c r="O46" s="60"/>
      <c r="P46" s="61"/>
      <c r="Q46" s="61"/>
      <c r="R46" s="61"/>
      <c r="S46" s="61"/>
      <c r="T46" s="61"/>
      <c r="U46" s="61"/>
      <c r="V46" s="181"/>
    </row>
    <row r="47" spans="1:22" ht="36.75" thickBot="1">
      <c r="A47" s="662"/>
      <c r="B47" s="145"/>
      <c r="C47" s="601"/>
      <c r="D47" s="605"/>
      <c r="E47" s="102" t="s">
        <v>83</v>
      </c>
      <c r="F47" s="68" t="s">
        <v>59</v>
      </c>
      <c r="G47" s="68">
        <v>11</v>
      </c>
      <c r="H47" s="163">
        <v>11</v>
      </c>
      <c r="I47" s="71">
        <f t="shared" si="5"/>
        <v>1</v>
      </c>
      <c r="J47" s="35" t="s">
        <v>37</v>
      </c>
      <c r="K47" s="68"/>
      <c r="L47" s="130">
        <v>15</v>
      </c>
      <c r="M47" s="130">
        <f t="shared" ref="M47" si="6">H47</f>
        <v>11</v>
      </c>
      <c r="N47" s="74">
        <f t="shared" ref="N47" si="7">M47/L47</f>
        <v>0.73333333333333328</v>
      </c>
      <c r="O47" s="182"/>
      <c r="P47" s="183"/>
      <c r="Q47" s="183"/>
      <c r="R47" s="183"/>
      <c r="S47" s="183"/>
      <c r="T47" s="183"/>
      <c r="U47" s="183"/>
      <c r="V47" s="184"/>
    </row>
    <row r="48" spans="1:22" ht="13.5" customHeight="1" thickBot="1">
      <c r="A48" s="662"/>
      <c r="B48" s="618" t="s">
        <v>84</v>
      </c>
      <c r="C48" s="619" t="s">
        <v>31</v>
      </c>
      <c r="D48" s="620" t="s">
        <v>85</v>
      </c>
      <c r="E48" s="624" t="s">
        <v>86</v>
      </c>
      <c r="F48" s="625"/>
      <c r="G48" s="625"/>
      <c r="H48" s="626"/>
      <c r="I48" s="13">
        <f>(+I51+I52+I53+I54+I56+I59+I62+I63+I64+I65+I66+I68)/12</f>
        <v>0.92824074074074081</v>
      </c>
      <c r="J48" s="185"/>
      <c r="K48" s="186"/>
      <c r="L48" s="187"/>
      <c r="M48" s="79"/>
      <c r="N48" s="141">
        <f>SUM(N49+N50+N51+N52+N53+N54+N55+N56+N57+N58+N61+N62+N63+N64+N65+N66+N68)/17</f>
        <v>0.49491993464052297</v>
      </c>
      <c r="O48" s="188">
        <f>O49+O60+O67</f>
        <v>0.23583842800000002</v>
      </c>
      <c r="P48" s="189">
        <f>P49+P60+P67</f>
        <v>4247909641</v>
      </c>
      <c r="Q48" s="190">
        <f>Q49+Q60+Q67</f>
        <v>3716246293.5799999</v>
      </c>
      <c r="R48" s="191">
        <f>Q48/P48</f>
        <v>0.87484118252222487</v>
      </c>
      <c r="S48" s="190">
        <f>S49+S60+S67</f>
        <v>6429778996</v>
      </c>
      <c r="T48" s="190">
        <f>T49+T60+T67</f>
        <v>14077722845</v>
      </c>
      <c r="U48" s="192">
        <f>T48/S48</f>
        <v>2.1894567221918244</v>
      </c>
      <c r="V48" s="193"/>
    </row>
    <row r="49" spans="1:22" ht="13.5" customHeight="1" thickBot="1">
      <c r="A49" s="662"/>
      <c r="B49" s="618"/>
      <c r="C49" s="619"/>
      <c r="D49" s="621"/>
      <c r="E49" s="627" t="s">
        <v>87</v>
      </c>
      <c r="F49" s="628"/>
      <c r="G49" s="628"/>
      <c r="H49" s="629"/>
      <c r="I49" s="13">
        <f>(+I51+I52+I53+I54+I56+I59)/6</f>
        <v>1</v>
      </c>
      <c r="J49" s="186"/>
      <c r="K49" s="194"/>
      <c r="L49" s="81"/>
      <c r="M49" s="195"/>
      <c r="N49" s="23">
        <f>SUM(N50+N51+N52+N53+N54+N55+N56+N57+N58+N59)/10</f>
        <v>0.65975000000000006</v>
      </c>
      <c r="O49" s="196">
        <v>8.3000000000000004E-2</v>
      </c>
      <c r="P49" s="197">
        <f>'[1]Anexo 5-2 Gastos'!K35</f>
        <v>3483060967</v>
      </c>
      <c r="Q49" s="198">
        <f>'[1]Anexo 5-2 Gastos'!L35</f>
        <v>3200442091.5799999</v>
      </c>
      <c r="R49" s="88">
        <f>Q49/P49</f>
        <v>0.91885905010057201</v>
      </c>
      <c r="S49" s="30">
        <f>731549993+764794213+799066756+844033875</f>
        <v>3139444837</v>
      </c>
      <c r="T49" s="31">
        <f>+P49+6985717962</f>
        <v>10468778929</v>
      </c>
      <c r="U49" s="199">
        <f>T49/S49</f>
        <v>3.3345955965271195</v>
      </c>
      <c r="V49" s="193"/>
    </row>
    <row r="50" spans="1:22" ht="60.75" customHeight="1">
      <c r="A50" s="662"/>
      <c r="B50" s="618"/>
      <c r="C50" s="619"/>
      <c r="D50" s="622"/>
      <c r="E50" s="90" t="s">
        <v>88</v>
      </c>
      <c r="F50" s="35" t="s">
        <v>36</v>
      </c>
      <c r="G50" s="36">
        <v>0.11</v>
      </c>
      <c r="H50" s="37" t="str">
        <f>'[1]9RUNAP'!D9</f>
        <v>SIN INFORMACION</v>
      </c>
      <c r="I50" s="36" t="s">
        <v>39</v>
      </c>
      <c r="J50" s="35"/>
      <c r="K50" s="50" t="s">
        <v>89</v>
      </c>
      <c r="L50" s="40">
        <v>1</v>
      </c>
      <c r="M50" s="41">
        <f>0.06</f>
        <v>0.06</v>
      </c>
      <c r="N50" s="91">
        <f>M50/L50</f>
        <v>0.06</v>
      </c>
      <c r="O50" s="111"/>
      <c r="P50" s="93"/>
      <c r="Q50" s="93"/>
      <c r="R50" s="93"/>
      <c r="S50" s="93"/>
      <c r="T50" s="93"/>
      <c r="U50" s="93"/>
      <c r="V50" s="200"/>
    </row>
    <row r="51" spans="1:22" ht="60.75" customHeight="1">
      <c r="A51" s="662"/>
      <c r="B51" s="618"/>
      <c r="C51" s="619"/>
      <c r="D51" s="622"/>
      <c r="E51" s="95" t="s">
        <v>90</v>
      </c>
      <c r="F51" s="46" t="s">
        <v>36</v>
      </c>
      <c r="G51" s="47">
        <v>0.33</v>
      </c>
      <c r="H51" s="48">
        <f>'[1]6POMCASejec'!D8</f>
        <v>1</v>
      </c>
      <c r="I51" s="36">
        <v>1</v>
      </c>
      <c r="J51" s="46" t="s">
        <v>37</v>
      </c>
      <c r="K51" s="46"/>
      <c r="L51" s="51">
        <v>0.41</v>
      </c>
      <c r="M51" s="51">
        <f>0.33+H51</f>
        <v>1.33</v>
      </c>
      <c r="N51" s="66">
        <v>1</v>
      </c>
      <c r="O51" s="101"/>
      <c r="P51" s="61"/>
      <c r="Q51" s="61"/>
      <c r="R51" s="61"/>
      <c r="S51" s="61"/>
      <c r="T51" s="61"/>
      <c r="U51" s="61"/>
      <c r="V51" s="62"/>
    </row>
    <row r="52" spans="1:22" ht="36">
      <c r="A52" s="662"/>
      <c r="B52" s="618"/>
      <c r="C52" s="619"/>
      <c r="D52" s="622"/>
      <c r="E52" s="95" t="s">
        <v>91</v>
      </c>
      <c r="F52" s="46" t="s">
        <v>36</v>
      </c>
      <c r="G52" s="47">
        <v>0.33</v>
      </c>
      <c r="H52" s="201">
        <v>0.33</v>
      </c>
      <c r="I52" s="56">
        <f>H52/G52</f>
        <v>1</v>
      </c>
      <c r="J52" s="46" t="s">
        <v>37</v>
      </c>
      <c r="K52" s="46"/>
      <c r="L52" s="51">
        <v>1</v>
      </c>
      <c r="M52" s="51">
        <f>0%+H52</f>
        <v>0.33</v>
      </c>
      <c r="N52" s="66">
        <f t="shared" ref="N52:N58" si="8">M52/L52</f>
        <v>0.33</v>
      </c>
      <c r="O52" s="101"/>
      <c r="P52" s="61"/>
      <c r="Q52" s="61"/>
      <c r="R52" s="61"/>
      <c r="S52" s="61"/>
      <c r="T52" s="61"/>
      <c r="U52" s="61"/>
      <c r="V52" s="62"/>
    </row>
    <row r="53" spans="1:22" ht="36">
      <c r="A53" s="662"/>
      <c r="B53" s="618"/>
      <c r="C53" s="619"/>
      <c r="D53" s="622"/>
      <c r="E53" s="95" t="s">
        <v>92</v>
      </c>
      <c r="F53" s="46" t="s">
        <v>36</v>
      </c>
      <c r="G53" s="47">
        <v>1</v>
      </c>
      <c r="H53" s="48">
        <f>'[1]12PlanesAP'!D8</f>
        <v>1</v>
      </c>
      <c r="I53" s="56">
        <f t="shared" ref="I53" si="9">H53/G53</f>
        <v>1</v>
      </c>
      <c r="J53" s="46" t="s">
        <v>37</v>
      </c>
      <c r="K53" s="46"/>
      <c r="L53" s="51">
        <v>1</v>
      </c>
      <c r="M53" s="51">
        <f>(1+H53)/2</f>
        <v>1</v>
      </c>
      <c r="N53" s="66">
        <f t="shared" si="8"/>
        <v>1</v>
      </c>
      <c r="O53" s="101"/>
      <c r="P53" s="61"/>
      <c r="Q53" s="61"/>
      <c r="R53" s="61"/>
      <c r="S53" s="61"/>
      <c r="T53" s="61"/>
      <c r="U53" s="61"/>
      <c r="V53" s="62"/>
    </row>
    <row r="54" spans="1:22" ht="49.5" customHeight="1">
      <c r="A54" s="662"/>
      <c r="B54" s="618"/>
      <c r="C54" s="619"/>
      <c r="D54" s="622"/>
      <c r="E54" s="95" t="s">
        <v>93</v>
      </c>
      <c r="F54" s="46" t="s">
        <v>36</v>
      </c>
      <c r="G54" s="47">
        <v>0.25</v>
      </c>
      <c r="H54" s="48">
        <f>'[1]15Restaura'!D8</f>
        <v>1.7975000000000001</v>
      </c>
      <c r="I54" s="56">
        <v>1</v>
      </c>
      <c r="J54" s="46" t="s">
        <v>37</v>
      </c>
      <c r="K54" s="46"/>
      <c r="L54" s="51">
        <v>1</v>
      </c>
      <c r="M54" s="51">
        <f>0.25+H54</f>
        <v>2.0475000000000003</v>
      </c>
      <c r="N54" s="66">
        <f t="shared" si="8"/>
        <v>2.0475000000000003</v>
      </c>
      <c r="O54" s="101"/>
      <c r="P54" s="61"/>
      <c r="Q54" s="61"/>
      <c r="R54" s="61"/>
      <c r="S54" s="61"/>
      <c r="T54" s="61"/>
      <c r="U54" s="61"/>
      <c r="V54" s="62"/>
    </row>
    <row r="55" spans="1:22" ht="36">
      <c r="A55" s="662"/>
      <c r="B55" s="618"/>
      <c r="C55" s="619"/>
      <c r="D55" s="622"/>
      <c r="E55" s="95" t="s">
        <v>94</v>
      </c>
      <c r="F55" s="46" t="s">
        <v>36</v>
      </c>
      <c r="G55" s="47">
        <v>0</v>
      </c>
      <c r="H55" s="201" t="str">
        <f>'[1]16MIZC'!D8</f>
        <v>SIN INFORMACION</v>
      </c>
      <c r="I55" s="56" t="s">
        <v>39</v>
      </c>
      <c r="J55" s="46"/>
      <c r="K55" s="46"/>
      <c r="L55" s="51">
        <v>1</v>
      </c>
      <c r="M55" s="52">
        <f>0.16+0%</f>
        <v>0.16</v>
      </c>
      <c r="N55" s="66">
        <f t="shared" si="8"/>
        <v>0.16</v>
      </c>
      <c r="O55" s="101"/>
      <c r="P55" s="61"/>
      <c r="Q55" s="61"/>
      <c r="R55" s="61"/>
      <c r="S55" s="61"/>
      <c r="T55" s="61"/>
      <c r="U55" s="61"/>
      <c r="V55" s="62"/>
    </row>
    <row r="56" spans="1:22" ht="40.5" customHeight="1">
      <c r="A56" s="662"/>
      <c r="B56" s="618"/>
      <c r="C56" s="619"/>
      <c r="D56" s="622"/>
      <c r="E56" s="99" t="s">
        <v>95</v>
      </c>
      <c r="F56" s="46" t="s">
        <v>59</v>
      </c>
      <c r="G56" s="46">
        <v>1</v>
      </c>
      <c r="H56" s="100">
        <v>1</v>
      </c>
      <c r="I56" s="56">
        <f>H56/G56</f>
        <v>1</v>
      </c>
      <c r="J56" s="46" t="s">
        <v>37</v>
      </c>
      <c r="K56" s="46"/>
      <c r="L56" s="101">
        <v>1</v>
      </c>
      <c r="M56" s="101">
        <f>0+H56</f>
        <v>1</v>
      </c>
      <c r="N56" s="66">
        <f t="shared" si="8"/>
        <v>1</v>
      </c>
      <c r="O56" s="101"/>
      <c r="P56" s="61"/>
      <c r="Q56" s="61"/>
      <c r="R56" s="61"/>
      <c r="S56" s="61"/>
      <c r="T56" s="61"/>
      <c r="U56" s="61"/>
      <c r="V56" s="62"/>
    </row>
    <row r="57" spans="1:22" ht="37.5" customHeight="1">
      <c r="A57" s="662"/>
      <c r="B57" s="618"/>
      <c r="C57" s="619"/>
      <c r="D57" s="622"/>
      <c r="E57" s="202" t="s">
        <v>96</v>
      </c>
      <c r="F57" s="46" t="s">
        <v>59</v>
      </c>
      <c r="G57" s="46">
        <v>0</v>
      </c>
      <c r="H57" s="100">
        <v>0</v>
      </c>
      <c r="I57" s="56" t="s">
        <v>39</v>
      </c>
      <c r="J57" s="46"/>
      <c r="K57" s="50" t="s">
        <v>40</v>
      </c>
      <c r="L57" s="101">
        <v>1</v>
      </c>
      <c r="M57" s="101">
        <f>0+H57</f>
        <v>0</v>
      </c>
      <c r="N57" s="66">
        <f t="shared" si="8"/>
        <v>0</v>
      </c>
      <c r="O57" s="101"/>
      <c r="P57" s="61"/>
      <c r="Q57" s="61"/>
      <c r="R57" s="61"/>
      <c r="S57" s="61"/>
      <c r="T57" s="61"/>
      <c r="U57" s="61"/>
      <c r="V57" s="62"/>
    </row>
    <row r="58" spans="1:22" ht="43.5" customHeight="1">
      <c r="A58" s="662"/>
      <c r="B58" s="618"/>
      <c r="C58" s="619"/>
      <c r="D58" s="622"/>
      <c r="E58" s="202" t="s">
        <v>97</v>
      </c>
      <c r="F58" s="46" t="s">
        <v>73</v>
      </c>
      <c r="G58" s="46">
        <v>0</v>
      </c>
      <c r="H58" s="100">
        <v>0</v>
      </c>
      <c r="I58" s="56" t="s">
        <v>39</v>
      </c>
      <c r="J58" s="46"/>
      <c r="K58" s="50" t="s">
        <v>40</v>
      </c>
      <c r="L58" s="101">
        <v>8</v>
      </c>
      <c r="M58" s="101">
        <f>0+H58</f>
        <v>0</v>
      </c>
      <c r="N58" s="66">
        <f t="shared" si="8"/>
        <v>0</v>
      </c>
      <c r="O58" s="101"/>
      <c r="P58" s="61"/>
      <c r="Q58" s="61"/>
      <c r="R58" s="61"/>
      <c r="S58" s="61"/>
      <c r="T58" s="61"/>
      <c r="U58" s="61"/>
      <c r="V58" s="62"/>
    </row>
    <row r="59" spans="1:22" ht="36.75" thickBot="1">
      <c r="A59" s="662"/>
      <c r="B59" s="618"/>
      <c r="C59" s="619"/>
      <c r="D59" s="623"/>
      <c r="E59" s="203" t="s">
        <v>98</v>
      </c>
      <c r="F59" s="68" t="s">
        <v>59</v>
      </c>
      <c r="G59" s="68">
        <v>1</v>
      </c>
      <c r="H59" s="163">
        <v>1</v>
      </c>
      <c r="I59" s="56">
        <f>H59/G59</f>
        <v>1</v>
      </c>
      <c r="J59" s="204"/>
      <c r="K59" s="205"/>
      <c r="L59" s="130">
        <v>1</v>
      </c>
      <c r="M59" s="130">
        <f>0+H59</f>
        <v>1</v>
      </c>
      <c r="N59" s="74">
        <f>M59/L59</f>
        <v>1</v>
      </c>
      <c r="O59" s="130"/>
      <c r="P59" s="76"/>
      <c r="Q59" s="76"/>
      <c r="R59" s="76"/>
      <c r="S59" s="76"/>
      <c r="T59" s="76"/>
      <c r="U59" s="76"/>
      <c r="V59" s="77"/>
    </row>
    <row r="60" spans="1:22" ht="13.5" customHeight="1" thickBot="1">
      <c r="A60" s="662"/>
      <c r="B60" s="206"/>
      <c r="C60" s="612" t="s">
        <v>99</v>
      </c>
      <c r="D60" s="602" t="s">
        <v>100</v>
      </c>
      <c r="E60" s="609" t="s">
        <v>101</v>
      </c>
      <c r="F60" s="610"/>
      <c r="G60" s="610"/>
      <c r="H60" s="611"/>
      <c r="I60" s="13">
        <f>(I62+I63+I64+I65+I66)/5</f>
        <v>0.82777777777777783</v>
      </c>
      <c r="J60" s="103"/>
      <c r="K60" s="13"/>
      <c r="L60" s="82"/>
      <c r="M60" s="23"/>
      <c r="N60" s="82">
        <f>(N61+N62+N63+N64+N65+N66)/6</f>
        <v>0.28773148148148148</v>
      </c>
      <c r="O60" s="83">
        <v>7.8602620100000006E-2</v>
      </c>
      <c r="P60" s="87">
        <f>'[1]Anexo 5-2 Gastos'!K36</f>
        <v>714018181</v>
      </c>
      <c r="Q60" s="31">
        <f>'[1]Anexo 5-2 Gastos'!L36</f>
        <v>465174776</v>
      </c>
      <c r="R60" s="207">
        <f>Q60/P60</f>
        <v>0.65148869927725273</v>
      </c>
      <c r="S60" s="31">
        <f>640338090+675396851+710820372+755582314</f>
        <v>2782137627</v>
      </c>
      <c r="T60" s="87">
        <f>658238090+P60</f>
        <v>1372256271</v>
      </c>
      <c r="U60" s="88">
        <f>T60/S60</f>
        <v>0.49323809781463412</v>
      </c>
      <c r="V60" s="89"/>
    </row>
    <row r="61" spans="1:22" ht="36">
      <c r="A61" s="662"/>
      <c r="B61" s="206"/>
      <c r="C61" s="613"/>
      <c r="D61" s="604"/>
      <c r="E61" s="90" t="s">
        <v>102</v>
      </c>
      <c r="F61" s="35" t="s">
        <v>36</v>
      </c>
      <c r="G61" s="36">
        <v>0</v>
      </c>
      <c r="H61" s="151" t="str">
        <f>'[1]11Forest'!D8</f>
        <v>SIN INFORMACION</v>
      </c>
      <c r="I61" s="108" t="s">
        <v>39</v>
      </c>
      <c r="J61" s="35"/>
      <c r="K61" s="35"/>
      <c r="L61" s="40">
        <v>1</v>
      </c>
      <c r="M61" s="40">
        <f>0+0%</f>
        <v>0</v>
      </c>
      <c r="N61" s="91">
        <f t="shared" ref="N61:N66" si="10">M61/L61</f>
        <v>0</v>
      </c>
      <c r="O61" s="111"/>
      <c r="P61" s="93"/>
      <c r="Q61" s="93"/>
      <c r="R61" s="93"/>
      <c r="S61" s="93"/>
      <c r="T61" s="93"/>
      <c r="U61" s="93"/>
      <c r="V61" s="94"/>
    </row>
    <row r="62" spans="1:22" ht="51" customHeight="1">
      <c r="A62" s="662"/>
      <c r="B62" s="206"/>
      <c r="C62" s="613"/>
      <c r="D62" s="604"/>
      <c r="E62" s="95" t="s">
        <v>103</v>
      </c>
      <c r="F62" s="46" t="s">
        <v>36</v>
      </c>
      <c r="G62" s="47">
        <v>1</v>
      </c>
      <c r="H62" s="48">
        <f>'[1]13Amenaz'!D8</f>
        <v>0.63888888888888884</v>
      </c>
      <c r="I62" s="56">
        <f t="shared" ref="I62:I66" si="11">H62/G62</f>
        <v>0.63888888888888884</v>
      </c>
      <c r="J62" s="46" t="s">
        <v>37</v>
      </c>
      <c r="K62" s="46"/>
      <c r="L62" s="51">
        <v>1</v>
      </c>
      <c r="M62" s="51">
        <f>(1+H62)/4</f>
        <v>0.40972222222222221</v>
      </c>
      <c r="N62" s="160">
        <f t="shared" si="10"/>
        <v>0.40972222222222221</v>
      </c>
      <c r="O62" s="101"/>
      <c r="P62" s="61"/>
      <c r="Q62" s="61"/>
      <c r="R62" s="61"/>
      <c r="S62" s="61"/>
      <c r="T62" s="61"/>
      <c r="U62" s="61"/>
      <c r="V62" s="62"/>
    </row>
    <row r="63" spans="1:22" ht="48">
      <c r="A63" s="662"/>
      <c r="B63" s="206"/>
      <c r="C63" s="613"/>
      <c r="D63" s="604"/>
      <c r="E63" s="95" t="s">
        <v>104</v>
      </c>
      <c r="F63" s="47" t="s">
        <v>36</v>
      </c>
      <c r="G63" s="47">
        <v>1</v>
      </c>
      <c r="H63" s="48">
        <f>'[1]14Invasor'!D8</f>
        <v>1</v>
      </c>
      <c r="I63" s="47">
        <f t="shared" si="11"/>
        <v>1</v>
      </c>
      <c r="J63" s="46" t="s">
        <v>37</v>
      </c>
      <c r="K63" s="46"/>
      <c r="L63" s="51">
        <v>1</v>
      </c>
      <c r="M63" s="51">
        <f>(1+H63)/4</f>
        <v>0.5</v>
      </c>
      <c r="N63" s="66">
        <f t="shared" si="10"/>
        <v>0.5</v>
      </c>
      <c r="O63" s="101"/>
      <c r="P63" s="61"/>
      <c r="Q63" s="61"/>
      <c r="R63" s="61"/>
      <c r="S63" s="61"/>
      <c r="T63" s="61"/>
      <c r="U63" s="61"/>
      <c r="V63" s="62"/>
    </row>
    <row r="64" spans="1:22" ht="36">
      <c r="A64" s="662"/>
      <c r="B64" s="206"/>
      <c r="C64" s="613"/>
      <c r="D64" s="604"/>
      <c r="E64" s="99" t="s">
        <v>105</v>
      </c>
      <c r="F64" s="46" t="s">
        <v>36</v>
      </c>
      <c r="G64" s="47">
        <v>0.3</v>
      </c>
      <c r="H64" s="48">
        <v>0.15</v>
      </c>
      <c r="I64" s="47">
        <f t="shared" si="11"/>
        <v>0.5</v>
      </c>
      <c r="J64" s="46" t="s">
        <v>37</v>
      </c>
      <c r="K64" s="46"/>
      <c r="L64" s="51">
        <v>1</v>
      </c>
      <c r="M64" s="51">
        <f>0+H64</f>
        <v>0.15</v>
      </c>
      <c r="N64" s="66">
        <f t="shared" si="10"/>
        <v>0.15</v>
      </c>
      <c r="O64" s="101"/>
      <c r="P64" s="61"/>
      <c r="Q64" s="61"/>
      <c r="R64" s="61"/>
      <c r="S64" s="61"/>
      <c r="T64" s="61"/>
      <c r="U64" s="61"/>
      <c r="V64" s="62"/>
    </row>
    <row r="65" spans="1:22" ht="51" customHeight="1">
      <c r="A65" s="662"/>
      <c r="B65" s="206"/>
      <c r="C65" s="613"/>
      <c r="D65" s="604"/>
      <c r="E65" s="99" t="s">
        <v>106</v>
      </c>
      <c r="F65" s="46" t="s">
        <v>59</v>
      </c>
      <c r="G65" s="46">
        <v>1</v>
      </c>
      <c r="H65" s="100">
        <v>1</v>
      </c>
      <c r="I65" s="47">
        <f t="shared" si="11"/>
        <v>1</v>
      </c>
      <c r="J65" s="46" t="s">
        <v>37</v>
      </c>
      <c r="K65" s="46"/>
      <c r="L65" s="101">
        <v>3</v>
      </c>
      <c r="M65" s="101">
        <f>0+H65</f>
        <v>1</v>
      </c>
      <c r="N65" s="66">
        <f t="shared" si="10"/>
        <v>0.33333333333333331</v>
      </c>
      <c r="O65" s="101"/>
      <c r="P65" s="61"/>
      <c r="Q65" s="61"/>
      <c r="R65" s="61"/>
      <c r="S65" s="61"/>
      <c r="T65" s="61"/>
      <c r="U65" s="61"/>
      <c r="V65" s="62"/>
    </row>
    <row r="66" spans="1:22" ht="36.75" thickBot="1">
      <c r="A66" s="662"/>
      <c r="B66" s="206"/>
      <c r="C66" s="614"/>
      <c r="D66" s="605"/>
      <c r="E66" s="102" t="s">
        <v>107</v>
      </c>
      <c r="F66" s="68" t="s">
        <v>59</v>
      </c>
      <c r="G66" s="208">
        <v>1</v>
      </c>
      <c r="H66" s="209">
        <v>1</v>
      </c>
      <c r="I66" s="47">
        <f t="shared" si="11"/>
        <v>1</v>
      </c>
      <c r="J66" s="68" t="s">
        <v>37</v>
      </c>
      <c r="K66" s="68"/>
      <c r="L66" s="130">
        <v>3</v>
      </c>
      <c r="M66" s="130">
        <f>0+H66</f>
        <v>1</v>
      </c>
      <c r="N66" s="74">
        <f t="shared" si="10"/>
        <v>0.33333333333333331</v>
      </c>
      <c r="O66" s="130"/>
      <c r="P66" s="76"/>
      <c r="Q66" s="76"/>
      <c r="R66" s="76"/>
      <c r="S66" s="76"/>
      <c r="T66" s="76"/>
      <c r="U66" s="76"/>
      <c r="V66" s="77"/>
    </row>
    <row r="67" spans="1:22" ht="13.5" thickBot="1">
      <c r="A67" s="662"/>
      <c r="B67" s="630"/>
      <c r="C67" s="632" t="s">
        <v>99</v>
      </c>
      <c r="D67" s="595" t="s">
        <v>56</v>
      </c>
      <c r="E67" s="596" t="s">
        <v>108</v>
      </c>
      <c r="F67" s="597"/>
      <c r="G67" s="597"/>
      <c r="H67" s="597"/>
      <c r="I67" s="13">
        <f>I68</f>
        <v>1</v>
      </c>
      <c r="J67" s="103"/>
      <c r="K67" s="13"/>
      <c r="L67" s="82"/>
      <c r="M67" s="23"/>
      <c r="N67" s="82">
        <f>N68</f>
        <v>0.43</v>
      </c>
      <c r="O67" s="83">
        <v>7.4235807900000006E-2</v>
      </c>
      <c r="P67" s="87">
        <f>'[1]Anexo 5-2 Gastos'!K37</f>
        <v>50830493</v>
      </c>
      <c r="Q67" s="31">
        <f>'[1]Anexo 5-2 Gastos'!L37</f>
        <v>50629426</v>
      </c>
      <c r="R67" s="207">
        <f>Q67/P67</f>
        <v>0.99604436258369555</v>
      </c>
      <c r="S67" s="31">
        <f>113192540+122789910+131338638+140875444</f>
        <v>508196532</v>
      </c>
      <c r="T67" s="87">
        <f>2185857152+P67</f>
        <v>2236687645</v>
      </c>
      <c r="U67" s="88">
        <f>T67/S67</f>
        <v>4.4012257151727274</v>
      </c>
      <c r="V67" s="172"/>
    </row>
    <row r="68" spans="1:22" ht="43.5" customHeight="1" thickBot="1">
      <c r="A68" s="662"/>
      <c r="B68" s="631"/>
      <c r="C68" s="632"/>
      <c r="D68" s="593"/>
      <c r="E68" s="210" t="s">
        <v>109</v>
      </c>
      <c r="F68" s="211" t="s">
        <v>36</v>
      </c>
      <c r="G68" s="212">
        <v>0.25</v>
      </c>
      <c r="H68" s="213">
        <f>'[1]20Negoc'!D8</f>
        <v>0.25</v>
      </c>
      <c r="I68" s="212">
        <f>H68/G68</f>
        <v>1</v>
      </c>
      <c r="J68" s="214"/>
      <c r="K68" s="211"/>
      <c r="L68" s="215">
        <v>1</v>
      </c>
      <c r="M68" s="215">
        <f>0.18+H68</f>
        <v>0.43</v>
      </c>
      <c r="N68" s="216">
        <f>M68/L68</f>
        <v>0.43</v>
      </c>
      <c r="O68" s="217"/>
      <c r="P68" s="218"/>
      <c r="Q68" s="218"/>
      <c r="R68" s="218"/>
      <c r="S68" s="218"/>
      <c r="T68" s="218"/>
      <c r="U68" s="218"/>
      <c r="V68" s="154"/>
    </row>
    <row r="69" spans="1:22" ht="13.5" thickBot="1">
      <c r="A69" s="662"/>
      <c r="B69" s="633"/>
      <c r="C69" s="632"/>
      <c r="D69" s="634" t="s">
        <v>63</v>
      </c>
      <c r="E69" s="638" t="s">
        <v>110</v>
      </c>
      <c r="F69" s="639"/>
      <c r="G69" s="639"/>
      <c r="H69" s="639"/>
      <c r="I69" s="13">
        <f>+(I71+I72)/2</f>
        <v>0.98875000000000013</v>
      </c>
      <c r="J69" s="137"/>
      <c r="K69" s="138"/>
      <c r="L69" s="139"/>
      <c r="M69" s="219"/>
      <c r="N69" s="220">
        <f>(N71+N73)/2</f>
        <v>0.55493750000000008</v>
      </c>
      <c r="O69" s="221">
        <f>O70+O72+O88</f>
        <v>0.20960480310000001</v>
      </c>
      <c r="P69" s="17">
        <f>P70+P72</f>
        <v>1531875252</v>
      </c>
      <c r="Q69" s="17">
        <f>Q70+Q72</f>
        <v>1483322363.5</v>
      </c>
      <c r="R69" s="19">
        <f>Q69/P69</f>
        <v>0.9683049331617507</v>
      </c>
      <c r="S69" s="17">
        <f>S70+S72</f>
        <v>2757374103</v>
      </c>
      <c r="T69" s="16">
        <f>T70+T72</f>
        <v>2682167023</v>
      </c>
      <c r="U69" s="19">
        <f>T69/S69</f>
        <v>0.97272510831295056</v>
      </c>
      <c r="V69" s="222"/>
    </row>
    <row r="70" spans="1:22" ht="13.5" thickBot="1">
      <c r="A70" s="662"/>
      <c r="B70" s="633"/>
      <c r="C70" s="632"/>
      <c r="D70" s="635"/>
      <c r="E70" s="606" t="s">
        <v>111</v>
      </c>
      <c r="F70" s="607"/>
      <c r="G70" s="607"/>
      <c r="H70" s="608"/>
      <c r="I70" s="13">
        <f>I71</f>
        <v>0.97750000000000026</v>
      </c>
      <c r="J70" s="194"/>
      <c r="K70" s="186"/>
      <c r="L70" s="195"/>
      <c r="M70" s="81"/>
      <c r="N70" s="23">
        <f>(N71)</f>
        <v>0.60987500000000017</v>
      </c>
      <c r="O70" s="26">
        <v>7.8602620100000006E-2</v>
      </c>
      <c r="P70" s="31">
        <f>'[1]Anexo 5-2 Gastos'!K39</f>
        <v>845706080</v>
      </c>
      <c r="Q70" s="31">
        <f>'[1]Anexo 5-2 Gastos'!L39</f>
        <v>819878638.5</v>
      </c>
      <c r="R70" s="32">
        <f>Q70/P70</f>
        <v>0.96946049920795174</v>
      </c>
      <c r="S70" s="31">
        <f>337772038+343074562+363062048+384893710</f>
        <v>1428802358</v>
      </c>
      <c r="T70" s="31">
        <f>751199038+P70</f>
        <v>1596905118</v>
      </c>
      <c r="U70" s="32">
        <f>T70/S70</f>
        <v>1.1176529133359674</v>
      </c>
      <c r="V70" s="223"/>
    </row>
    <row r="71" spans="1:22" ht="24.75" thickBot="1">
      <c r="A71" s="662"/>
      <c r="B71" s="633"/>
      <c r="C71" s="632"/>
      <c r="D71" s="636"/>
      <c r="E71" s="224" t="s">
        <v>112</v>
      </c>
      <c r="F71" s="225" t="s">
        <v>36</v>
      </c>
      <c r="G71" s="212">
        <v>0.45</v>
      </c>
      <c r="H71" s="226">
        <f>'[1]19GAU'!D8</f>
        <v>0.43987500000000013</v>
      </c>
      <c r="I71" s="227">
        <f>H71/G71</f>
        <v>0.97750000000000026</v>
      </c>
      <c r="J71" s="228"/>
      <c r="K71" s="228"/>
      <c r="L71" s="215">
        <v>1</v>
      </c>
      <c r="M71" s="215">
        <f>0.17+H71</f>
        <v>0.60987500000000017</v>
      </c>
      <c r="N71" s="216">
        <f>M71/L71</f>
        <v>0.60987500000000017</v>
      </c>
      <c r="O71" s="229"/>
      <c r="P71" s="230"/>
      <c r="Q71" s="218"/>
      <c r="R71" s="218"/>
      <c r="S71" s="218"/>
      <c r="T71" s="218"/>
      <c r="U71" s="218"/>
      <c r="V71" s="154"/>
    </row>
    <row r="72" spans="1:22" ht="13.5" thickBot="1">
      <c r="A72" s="662"/>
      <c r="B72" s="633"/>
      <c r="C72" s="632"/>
      <c r="D72" s="635"/>
      <c r="E72" s="606" t="s">
        <v>113</v>
      </c>
      <c r="F72" s="607"/>
      <c r="G72" s="607"/>
      <c r="H72" s="607"/>
      <c r="I72" s="13">
        <f>I73</f>
        <v>1</v>
      </c>
      <c r="J72" s="103"/>
      <c r="K72" s="13"/>
      <c r="L72" s="82"/>
      <c r="M72" s="23"/>
      <c r="N72" s="82">
        <f>(N73)</f>
        <v>0.5</v>
      </c>
      <c r="O72" s="231">
        <v>6.5502183000000005E-2</v>
      </c>
      <c r="P72" s="232">
        <f>'[1]Anexo 5-2 Gastos'!K40</f>
        <v>686169172</v>
      </c>
      <c r="Q72" s="31">
        <f>'[1]Anexo 5-2 Gastos'!L40</f>
        <v>663443725</v>
      </c>
      <c r="R72" s="88">
        <f>Q72/P72</f>
        <v>0.96688069367243445</v>
      </c>
      <c r="S72" s="87">
        <f>291746733+320524448+343855274+372445290</f>
        <v>1328571745</v>
      </c>
      <c r="T72" s="31">
        <f>399092733+P72</f>
        <v>1085261905</v>
      </c>
      <c r="U72" s="233">
        <f>T72/S72</f>
        <v>0.81686360490829191</v>
      </c>
      <c r="V72" s="234"/>
    </row>
    <row r="73" spans="1:22" ht="49.5" customHeight="1" thickBot="1">
      <c r="A73" s="662"/>
      <c r="B73" s="633"/>
      <c r="C73" s="632"/>
      <c r="D73" s="637"/>
      <c r="E73" s="224" t="s">
        <v>114</v>
      </c>
      <c r="F73" s="228" t="s">
        <v>36</v>
      </c>
      <c r="G73" s="212">
        <v>0.25</v>
      </c>
      <c r="H73" s="213">
        <f>'[1]18Sector'!D8</f>
        <v>0.25</v>
      </c>
      <c r="I73" s="227">
        <f>H73/G73</f>
        <v>1</v>
      </c>
      <c r="J73" s="228"/>
      <c r="K73" s="235"/>
      <c r="L73" s="215">
        <v>1</v>
      </c>
      <c r="M73" s="215">
        <f>0.25+H73</f>
        <v>0.5</v>
      </c>
      <c r="N73" s="216">
        <f>M73/L73</f>
        <v>0.5</v>
      </c>
      <c r="O73" s="236"/>
      <c r="P73" s="230"/>
      <c r="Q73" s="218"/>
      <c r="R73" s="218"/>
      <c r="S73" s="218"/>
      <c r="T73" s="218"/>
      <c r="U73" s="218"/>
      <c r="V73" s="154"/>
    </row>
    <row r="74" spans="1:22" ht="13.5" thickBot="1">
      <c r="A74" s="662"/>
      <c r="B74" s="591" t="s">
        <v>55</v>
      </c>
      <c r="C74" s="643" t="s">
        <v>99</v>
      </c>
      <c r="D74" s="645" t="s">
        <v>115</v>
      </c>
      <c r="E74" s="648" t="s">
        <v>116</v>
      </c>
      <c r="F74" s="649"/>
      <c r="G74" s="649"/>
      <c r="H74" s="650"/>
      <c r="I74" s="237">
        <f>SUM(I75+I77)/2</f>
        <v>0.96111111111111103</v>
      </c>
      <c r="J74" s="137"/>
      <c r="K74" s="138"/>
      <c r="L74" s="139"/>
      <c r="M74" s="140"/>
      <c r="N74" s="141">
        <f>(N76+N78)/2</f>
        <v>0.62250000000000005</v>
      </c>
      <c r="O74" s="238">
        <f>O75+O77</f>
        <v>0.13100436681300001</v>
      </c>
      <c r="P74" s="17">
        <f>P75+P77</f>
        <v>659020948</v>
      </c>
      <c r="Q74" s="16">
        <f>Q75+Q77</f>
        <v>479808950</v>
      </c>
      <c r="R74" s="19">
        <f>Q74/P74</f>
        <v>0.72806327546358962</v>
      </c>
      <c r="S74" s="16">
        <f>S75+S77</f>
        <v>2843953350</v>
      </c>
      <c r="T74" s="17">
        <f>T75+T77</f>
        <v>1337602018</v>
      </c>
      <c r="U74" s="19">
        <f>T74/S74</f>
        <v>0.47033191244153144</v>
      </c>
      <c r="V74" s="33"/>
    </row>
    <row r="75" spans="1:22" ht="13.5" thickBot="1">
      <c r="A75" s="662"/>
      <c r="B75" s="592"/>
      <c r="C75" s="644"/>
      <c r="D75" s="645"/>
      <c r="E75" s="651" t="s">
        <v>117</v>
      </c>
      <c r="F75" s="652"/>
      <c r="G75" s="652"/>
      <c r="H75" s="653"/>
      <c r="I75" s="13">
        <f>SUM(I76)</f>
        <v>0.96111111111111103</v>
      </c>
      <c r="J75" s="194"/>
      <c r="K75" s="186"/>
      <c r="L75" s="23"/>
      <c r="M75" s="81"/>
      <c r="N75" s="23">
        <f>SUM(N76)</f>
        <v>0.62250000000000005</v>
      </c>
      <c r="O75" s="231">
        <v>6.5502183406500006E-2</v>
      </c>
      <c r="P75" s="85">
        <f>'[1]Anexo 5-2 Gastos'!K42</f>
        <v>442544536</v>
      </c>
      <c r="Q75" s="85">
        <f>'[1]Anexo 5-2 Gastos'!L42</f>
        <v>360093860</v>
      </c>
      <c r="R75" s="88">
        <f>Q75/P75</f>
        <v>0.81368954016415651</v>
      </c>
      <c r="S75" s="31">
        <f>413999764+433060064+450629158+472214308</f>
        <v>1769903294</v>
      </c>
      <c r="T75" s="30">
        <f>425170764+P75</f>
        <v>867715300</v>
      </c>
      <c r="U75" s="88">
        <f>T75/S75</f>
        <v>0.49026141876879292</v>
      </c>
      <c r="V75" s="239"/>
    </row>
    <row r="76" spans="1:22" ht="26.25" thickBot="1">
      <c r="A76" s="662"/>
      <c r="B76" s="592"/>
      <c r="C76" s="644"/>
      <c r="D76" s="646"/>
      <c r="E76" s="240" t="s">
        <v>118</v>
      </c>
      <c r="F76" s="241" t="s">
        <v>36</v>
      </c>
      <c r="G76" s="242">
        <v>0.45</v>
      </c>
      <c r="H76" s="243">
        <f>'[1]27Educa'!D8</f>
        <v>0.4325</v>
      </c>
      <c r="I76" s="227">
        <f>H76/G76</f>
        <v>0.96111111111111103</v>
      </c>
      <c r="J76" s="228"/>
      <c r="K76" s="228"/>
      <c r="L76" s="215">
        <v>1</v>
      </c>
      <c r="M76" s="215">
        <f>0.19+H76</f>
        <v>0.62250000000000005</v>
      </c>
      <c r="N76" s="216">
        <f>M76/L76</f>
        <v>0.62250000000000005</v>
      </c>
      <c r="O76" s="244"/>
      <c r="P76" s="230"/>
      <c r="Q76" s="218"/>
      <c r="R76" s="218"/>
      <c r="S76" s="218"/>
      <c r="T76" s="218"/>
      <c r="U76" s="218"/>
      <c r="V76" s="154"/>
    </row>
    <row r="77" spans="1:22" ht="13.5" thickBot="1">
      <c r="A77" s="662"/>
      <c r="B77" s="592"/>
      <c r="C77" s="644"/>
      <c r="D77" s="645"/>
      <c r="E77" s="654" t="s">
        <v>119</v>
      </c>
      <c r="F77" s="655"/>
      <c r="G77" s="655"/>
      <c r="H77" s="655"/>
      <c r="I77" s="13">
        <f>SUM(I78)</f>
        <v>0.96111111111111103</v>
      </c>
      <c r="J77" s="78"/>
      <c r="K77" s="186"/>
      <c r="L77" s="82"/>
      <c r="M77" s="81"/>
      <c r="N77" s="82">
        <f>SUM(N78)</f>
        <v>0.62250000000000005</v>
      </c>
      <c r="O77" s="231">
        <v>6.5502183406500006E-2</v>
      </c>
      <c r="P77" s="87">
        <f>'[1]Anexo 5-2 Gastos'!K43</f>
        <v>216476412</v>
      </c>
      <c r="Q77" s="31">
        <f>'[1]Anexo 5-2 Gastos'!L43</f>
        <v>119715090</v>
      </c>
      <c r="R77" s="233">
        <f>Q77/P77</f>
        <v>0.55301678780596197</v>
      </c>
      <c r="S77" s="31">
        <f>247240306+264243452+274198844+288367454</f>
        <v>1074050056</v>
      </c>
      <c r="T77" s="87">
        <f>253410306+P77</f>
        <v>469886718</v>
      </c>
      <c r="U77" s="88">
        <f>T77/S77</f>
        <v>0.43749052046043557</v>
      </c>
      <c r="V77" s="89"/>
    </row>
    <row r="78" spans="1:22" ht="26.25" thickBot="1">
      <c r="A78" s="662"/>
      <c r="B78" s="593"/>
      <c r="C78" s="644"/>
      <c r="D78" s="647"/>
      <c r="E78" s="245" t="s">
        <v>118</v>
      </c>
      <c r="F78" s="246" t="s">
        <v>36</v>
      </c>
      <c r="G78" s="212">
        <v>0.45</v>
      </c>
      <c r="H78" s="243">
        <f>'[1]27Educa'!D8</f>
        <v>0.4325</v>
      </c>
      <c r="I78" s="247">
        <f t="shared" ref="I78" si="12">H78/G78</f>
        <v>0.96111111111111103</v>
      </c>
      <c r="J78" s="246"/>
      <c r="K78" s="248"/>
      <c r="L78" s="215">
        <v>1</v>
      </c>
      <c r="M78" s="215">
        <f>0.19+H78</f>
        <v>0.62250000000000005</v>
      </c>
      <c r="N78" s="216">
        <f t="shared" ref="N78" si="13">M78/L78</f>
        <v>0.62250000000000005</v>
      </c>
      <c r="O78" s="229"/>
      <c r="P78" s="249"/>
      <c r="Q78" s="250"/>
      <c r="R78" s="250"/>
      <c r="S78" s="250"/>
      <c r="T78" s="250"/>
      <c r="U78" s="250"/>
      <c r="V78" s="251"/>
    </row>
    <row r="79" spans="1:22" ht="13.5" thickBot="1">
      <c r="A79" s="662"/>
      <c r="B79" s="252"/>
      <c r="C79" s="253"/>
      <c r="D79" s="254"/>
      <c r="E79" s="606" t="s">
        <v>120</v>
      </c>
      <c r="F79" s="607"/>
      <c r="G79" s="607"/>
      <c r="H79" s="608"/>
      <c r="I79" s="255">
        <f>SUM(I81+I82+I83+I84+I85+I86+I87+I89+I90+I91+I92+I93)/12</f>
        <v>0.83106478589596955</v>
      </c>
      <c r="J79" s="139"/>
      <c r="K79" s="256"/>
      <c r="L79" s="139"/>
      <c r="M79" s="257"/>
      <c r="N79" s="141">
        <f>SUM(N81+N82+N83+N84+N85+N86+N87+N89+N90+N91+N92+N93)/12</f>
        <v>0.4993450834930408</v>
      </c>
      <c r="O79" s="258">
        <f>O80</f>
        <v>6.9868995599999997E-2</v>
      </c>
      <c r="P79" s="259">
        <f>P80+P88</f>
        <v>1186568367</v>
      </c>
      <c r="Q79" s="260">
        <f>Q80+Q88</f>
        <v>1161397665</v>
      </c>
      <c r="R79" s="19">
        <f>Q79/P79</f>
        <v>0.97878697705077111</v>
      </c>
      <c r="S79" s="261">
        <f>S80+S88</f>
        <v>4558001842</v>
      </c>
      <c r="T79" s="17">
        <f>T80+T88</f>
        <v>2493357002</v>
      </c>
      <c r="U79" s="104">
        <f>T79/S79</f>
        <v>0.54702852004683322</v>
      </c>
      <c r="V79" s="33"/>
    </row>
    <row r="80" spans="1:22" ht="13.5" thickBot="1">
      <c r="A80" s="662"/>
      <c r="B80" s="262"/>
      <c r="C80" s="656" t="s">
        <v>121</v>
      </c>
      <c r="D80" s="658" t="s">
        <v>63</v>
      </c>
      <c r="E80" s="609" t="s">
        <v>122</v>
      </c>
      <c r="F80" s="610"/>
      <c r="G80" s="610"/>
      <c r="H80" s="611"/>
      <c r="I80" s="263">
        <f>SUM(I81+I82+I83+I84+I85+I86+I87)/7</f>
        <v>0.83353963296451916</v>
      </c>
      <c r="J80" s="264"/>
      <c r="K80" s="264"/>
      <c r="L80" s="265"/>
      <c r="M80" s="111"/>
      <c r="N80" s="266">
        <f>(N81+N82+N83+N84+N85+N86+N87)/7</f>
        <v>0.42790606834485895</v>
      </c>
      <c r="O80" s="267">
        <v>6.9868995599999997E-2</v>
      </c>
      <c r="P80" s="268">
        <f>'[1]Anexo 5-2 Gastos'!K45</f>
        <v>866055775</v>
      </c>
      <c r="Q80" s="269">
        <f>'[1]Anexo 5-2 Gastos'!L45</f>
        <v>865445359</v>
      </c>
      <c r="R80" s="270">
        <f>Q80/P80</f>
        <v>0.99929517703406578</v>
      </c>
      <c r="S80" s="271">
        <f>762514412+774477294+858800550+952403462</f>
        <v>3348195718</v>
      </c>
      <c r="T80" s="271">
        <f>783702414+P80</f>
        <v>1649758189</v>
      </c>
      <c r="U80" s="270">
        <f>T80/S80</f>
        <v>0.4927305115799685</v>
      </c>
      <c r="V80" s="272"/>
    </row>
    <row r="81" spans="1:22" ht="51" customHeight="1">
      <c r="A81" s="662"/>
      <c r="B81" s="273"/>
      <c r="C81" s="656"/>
      <c r="D81" s="659"/>
      <c r="E81" s="90" t="s">
        <v>123</v>
      </c>
      <c r="F81" s="274" t="s">
        <v>36</v>
      </c>
      <c r="G81" s="108">
        <v>1</v>
      </c>
      <c r="H81" s="275">
        <f>'[1]3PSMV'!D8</f>
        <v>1</v>
      </c>
      <c r="I81" s="56">
        <f>H81/G81</f>
        <v>1</v>
      </c>
      <c r="J81" s="276" t="s">
        <v>37</v>
      </c>
      <c r="K81" s="56"/>
      <c r="L81" s="51">
        <v>1</v>
      </c>
      <c r="M81" s="51">
        <f>(1+H81)/4</f>
        <v>0.5</v>
      </c>
      <c r="N81" s="52">
        <f>M81/L81</f>
        <v>0.5</v>
      </c>
      <c r="O81" s="124"/>
      <c r="P81" s="61"/>
      <c r="Q81" s="61"/>
      <c r="R81" s="277"/>
      <c r="S81" s="61"/>
      <c r="T81" s="61"/>
      <c r="U81" s="61"/>
      <c r="V81" s="77"/>
    </row>
    <row r="82" spans="1:22" ht="36">
      <c r="A82" s="662"/>
      <c r="B82" s="273"/>
      <c r="C82" s="656"/>
      <c r="D82" s="659"/>
      <c r="E82" s="95" t="s">
        <v>124</v>
      </c>
      <c r="F82" s="278" t="s">
        <v>36</v>
      </c>
      <c r="G82" s="56">
        <v>1</v>
      </c>
      <c r="H82" s="279">
        <f>'[1]5PUEAA'!D8</f>
        <v>1</v>
      </c>
      <c r="I82" s="56">
        <f t="shared" ref="I82:I87" si="14">H82/G82</f>
        <v>1</v>
      </c>
      <c r="J82" s="276" t="s">
        <v>37</v>
      </c>
      <c r="K82" s="56"/>
      <c r="L82" s="51">
        <v>1</v>
      </c>
      <c r="M82" s="51">
        <f>(1+H82)/4</f>
        <v>0.5</v>
      </c>
      <c r="N82" s="52">
        <f t="shared" ref="N82:N86" si="15">M82/L82</f>
        <v>0.5</v>
      </c>
      <c r="O82" s="124"/>
      <c r="P82" s="61"/>
      <c r="Q82" s="61"/>
      <c r="R82" s="61"/>
      <c r="S82" s="61"/>
      <c r="T82" s="61"/>
      <c r="U82" s="61"/>
      <c r="V82" s="77"/>
    </row>
    <row r="83" spans="1:22" ht="51" customHeight="1">
      <c r="A83" s="662"/>
      <c r="B83" s="273"/>
      <c r="C83" s="656"/>
      <c r="D83" s="659"/>
      <c r="E83" s="95" t="s">
        <v>125</v>
      </c>
      <c r="F83" s="278" t="s">
        <v>36</v>
      </c>
      <c r="G83" s="56">
        <v>1</v>
      </c>
      <c r="H83" s="280">
        <f>'[1]17PGIRS'!D8</f>
        <v>1</v>
      </c>
      <c r="I83" s="56">
        <f t="shared" si="14"/>
        <v>1</v>
      </c>
      <c r="J83" s="276" t="s">
        <v>37</v>
      </c>
      <c r="K83" s="56"/>
      <c r="L83" s="51">
        <v>1</v>
      </c>
      <c r="M83" s="51">
        <f>(1+H83)/4</f>
        <v>0.5</v>
      </c>
      <c r="N83" s="52">
        <f t="shared" si="15"/>
        <v>0.5</v>
      </c>
      <c r="O83" s="124"/>
      <c r="P83" s="61"/>
      <c r="Q83" s="61"/>
      <c r="R83" s="61"/>
      <c r="S83" s="61"/>
      <c r="T83" s="61"/>
      <c r="U83" s="61"/>
      <c r="V83" s="77"/>
    </row>
    <row r="84" spans="1:22" ht="24">
      <c r="A84" s="662"/>
      <c r="B84" s="273"/>
      <c r="C84" s="656"/>
      <c r="D84" s="659"/>
      <c r="E84" s="95" t="s">
        <v>126</v>
      </c>
      <c r="F84" s="278" t="s">
        <v>36</v>
      </c>
      <c r="G84" s="56">
        <v>1</v>
      </c>
      <c r="H84" s="279">
        <f>'[1]22Autor'!D8</f>
        <v>0.79201074787281689</v>
      </c>
      <c r="I84" s="56">
        <f t="shared" si="14"/>
        <v>0.79201074787281689</v>
      </c>
      <c r="J84" s="276" t="s">
        <v>37</v>
      </c>
      <c r="K84" s="56"/>
      <c r="L84" s="51">
        <v>1</v>
      </c>
      <c r="M84" s="51">
        <f>(0.97+H84)/4</f>
        <v>0.44050268696820422</v>
      </c>
      <c r="N84" s="52">
        <f t="shared" si="15"/>
        <v>0.44050268696820422</v>
      </c>
      <c r="O84" s="124"/>
      <c r="P84" s="61"/>
      <c r="Q84" s="61"/>
      <c r="R84" s="61"/>
      <c r="S84" s="61"/>
      <c r="T84" s="61"/>
      <c r="U84" s="61"/>
      <c r="V84" s="77"/>
    </row>
    <row r="85" spans="1:22" ht="54" customHeight="1">
      <c r="A85" s="662"/>
      <c r="B85" s="273"/>
      <c r="C85" s="656"/>
      <c r="D85" s="659"/>
      <c r="E85" s="95" t="s">
        <v>127</v>
      </c>
      <c r="F85" s="278" t="s">
        <v>128</v>
      </c>
      <c r="G85" s="281">
        <v>90</v>
      </c>
      <c r="H85" s="179">
        <f>'[1]21TiempoT'!E57</f>
        <v>94.403143812709033</v>
      </c>
      <c r="I85" s="56">
        <f>IF(G85/H85&gt;1,1,G85/H85)</f>
        <v>0.9533580807282791</v>
      </c>
      <c r="J85" s="117" t="s">
        <v>37</v>
      </c>
      <c r="K85" s="56"/>
      <c r="L85" s="180">
        <v>90</v>
      </c>
      <c r="M85" s="101">
        <f>123+H85</f>
        <v>217.40314381270903</v>
      </c>
      <c r="N85" s="52">
        <f>IF(L85/M85&gt;1,1,L85/M85)</f>
        <v>0.41397745415095855</v>
      </c>
      <c r="O85" s="124"/>
      <c r="P85" s="61"/>
      <c r="Q85" s="282"/>
      <c r="R85" s="61"/>
      <c r="S85" s="61"/>
      <c r="T85" s="61"/>
      <c r="U85" s="61"/>
      <c r="V85" s="283" t="s">
        <v>129</v>
      </c>
    </row>
    <row r="86" spans="1:22" ht="24">
      <c r="A86" s="662"/>
      <c r="B86" s="273"/>
      <c r="C86" s="656"/>
      <c r="D86" s="659"/>
      <c r="E86" s="95" t="s">
        <v>130</v>
      </c>
      <c r="F86" s="278" t="s">
        <v>36</v>
      </c>
      <c r="G86" s="47">
        <v>0.8</v>
      </c>
      <c r="H86" s="279">
        <f>'[1]23Sanc'!D8</f>
        <v>0.10752688172043011</v>
      </c>
      <c r="I86" s="64">
        <f t="shared" si="14"/>
        <v>0.13440860215053763</v>
      </c>
      <c r="J86" s="276" t="s">
        <v>37</v>
      </c>
      <c r="K86" s="56"/>
      <c r="L86" s="51">
        <v>0.95</v>
      </c>
      <c r="M86" s="51">
        <f>(0.48+H86)/4</f>
        <v>0.14688172043010753</v>
      </c>
      <c r="N86" s="52">
        <f t="shared" si="15"/>
        <v>0.15461233729485002</v>
      </c>
      <c r="O86" s="124"/>
      <c r="P86" s="61"/>
      <c r="Q86" s="61"/>
      <c r="R86" s="61"/>
      <c r="S86" s="61"/>
      <c r="T86" s="61"/>
      <c r="U86" s="61"/>
      <c r="V86" s="77"/>
    </row>
    <row r="87" spans="1:22" ht="36.75" thickBot="1">
      <c r="A87" s="662"/>
      <c r="B87" s="273"/>
      <c r="C87" s="656"/>
      <c r="D87" s="659"/>
      <c r="E87" s="102" t="s">
        <v>131</v>
      </c>
      <c r="F87" s="278" t="s">
        <v>59</v>
      </c>
      <c r="G87" s="284">
        <v>200</v>
      </c>
      <c r="H87" s="209">
        <f>188+3</f>
        <v>191</v>
      </c>
      <c r="I87" s="71">
        <f t="shared" si="14"/>
        <v>0.95499999999999996</v>
      </c>
      <c r="J87" s="285" t="s">
        <v>37</v>
      </c>
      <c r="K87" s="71"/>
      <c r="L87" s="286">
        <v>800</v>
      </c>
      <c r="M87" s="130">
        <f>198+H87</f>
        <v>389</v>
      </c>
      <c r="N87" s="287">
        <f>M87/L87</f>
        <v>0.48625000000000002</v>
      </c>
      <c r="O87" s="129"/>
      <c r="P87" s="76"/>
      <c r="Q87" s="76"/>
      <c r="R87" s="76"/>
      <c r="S87" s="76"/>
      <c r="T87" s="76"/>
      <c r="U87" s="76"/>
      <c r="V87" s="77"/>
    </row>
    <row r="88" spans="1:22" ht="13.5" thickBot="1">
      <c r="A88" s="662"/>
      <c r="B88" s="288"/>
      <c r="C88" s="656"/>
      <c r="D88" s="658"/>
      <c r="E88" s="596" t="s">
        <v>132</v>
      </c>
      <c r="F88" s="597"/>
      <c r="G88" s="597"/>
      <c r="H88" s="597"/>
      <c r="I88" s="13">
        <f>(I89+I90+I91+I92+I93)/5</f>
        <v>0.8276</v>
      </c>
      <c r="J88" s="78"/>
      <c r="K88" s="186"/>
      <c r="L88" s="80"/>
      <c r="M88" s="81"/>
      <c r="N88" s="82">
        <f>(N89+N90+N91+N92+N93)/5</f>
        <v>0.59935970470049527</v>
      </c>
      <c r="O88" s="83">
        <v>6.5500000000000003E-2</v>
      </c>
      <c r="P88" s="87">
        <f>'[1]Anexo 5-2 Gastos'!K46</f>
        <v>320512592</v>
      </c>
      <c r="Q88" s="31">
        <f>'[1]Anexo 5-2 Gastos'!L46</f>
        <v>295952306</v>
      </c>
      <c r="R88" s="233">
        <f>Q88/P88</f>
        <v>0.92337185304719638</v>
      </c>
      <c r="S88" s="31">
        <f>266529220+292674812+312315583+338286509</f>
        <v>1209806124</v>
      </c>
      <c r="T88" s="31">
        <f>523086221+P88</f>
        <v>843598813</v>
      </c>
      <c r="U88" s="289">
        <f>T88/S88</f>
        <v>0.6973008288392496</v>
      </c>
      <c r="V88" s="172"/>
    </row>
    <row r="89" spans="1:22" ht="51" customHeight="1">
      <c r="A89" s="662"/>
      <c r="B89" s="288"/>
      <c r="C89" s="656"/>
      <c r="D89" s="659"/>
      <c r="E89" s="290" t="s">
        <v>133</v>
      </c>
      <c r="F89" s="109" t="s">
        <v>59</v>
      </c>
      <c r="G89" s="291">
        <v>50</v>
      </c>
      <c r="H89" s="107">
        <v>48</v>
      </c>
      <c r="I89" s="36">
        <f>H89/G89</f>
        <v>0.96</v>
      </c>
      <c r="J89" s="292" t="s">
        <v>37</v>
      </c>
      <c r="K89" s="109"/>
      <c r="L89" s="293">
        <v>200</v>
      </c>
      <c r="M89" s="111">
        <f>36+H89</f>
        <v>84</v>
      </c>
      <c r="N89" s="41">
        <f>M89/L89</f>
        <v>0.42</v>
      </c>
      <c r="O89" s="294"/>
      <c r="P89" s="115"/>
      <c r="Q89" s="115"/>
      <c r="R89" s="115"/>
      <c r="S89" s="115"/>
      <c r="T89" s="115"/>
      <c r="U89" s="115"/>
      <c r="V89" s="295"/>
    </row>
    <row r="90" spans="1:22" ht="36">
      <c r="A90" s="662"/>
      <c r="B90" s="288"/>
      <c r="C90" s="656"/>
      <c r="D90" s="659"/>
      <c r="E90" s="296" t="s">
        <v>134</v>
      </c>
      <c r="F90" s="117" t="s">
        <v>36</v>
      </c>
      <c r="G90" s="116">
        <v>1</v>
      </c>
      <c r="H90" s="48">
        <v>0.98399999999999999</v>
      </c>
      <c r="I90" s="47">
        <f>H90/G90</f>
        <v>0.98399999999999999</v>
      </c>
      <c r="J90" s="276" t="s">
        <v>37</v>
      </c>
      <c r="K90" s="117"/>
      <c r="L90" s="51">
        <v>1</v>
      </c>
      <c r="M90" s="51">
        <f>(1+H90)/4</f>
        <v>0.496</v>
      </c>
      <c r="N90" s="52">
        <f>M90/L90</f>
        <v>0.496</v>
      </c>
      <c r="O90" s="297"/>
      <c r="P90" s="121"/>
      <c r="Q90" s="121"/>
      <c r="R90" s="121"/>
      <c r="S90" s="121"/>
      <c r="T90" s="121"/>
      <c r="U90" s="121"/>
      <c r="V90" s="298"/>
    </row>
    <row r="91" spans="1:22" ht="67.5" customHeight="1">
      <c r="A91" s="662"/>
      <c r="B91" s="288"/>
      <c r="C91" s="656"/>
      <c r="D91" s="659"/>
      <c r="E91" s="296" t="s">
        <v>135</v>
      </c>
      <c r="F91" s="122" t="s">
        <v>136</v>
      </c>
      <c r="G91" s="299">
        <v>50</v>
      </c>
      <c r="H91" s="300">
        <v>39.5</v>
      </c>
      <c r="I91" s="47">
        <f>H91/G91</f>
        <v>0.79</v>
      </c>
      <c r="J91" s="117" t="s">
        <v>37</v>
      </c>
      <c r="K91" s="117"/>
      <c r="L91" s="124">
        <v>50</v>
      </c>
      <c r="M91" s="101">
        <f>53.3+H91</f>
        <v>92.8</v>
      </c>
      <c r="N91" s="52">
        <f>L91/M91</f>
        <v>0.53879310344827591</v>
      </c>
      <c r="O91" s="297"/>
      <c r="P91" s="121"/>
      <c r="Q91" s="121"/>
      <c r="R91" s="121"/>
      <c r="S91" s="121"/>
      <c r="T91" s="121"/>
      <c r="U91" s="121"/>
      <c r="V91" s="298"/>
    </row>
    <row r="92" spans="1:22" ht="67.5" customHeight="1">
      <c r="A92" s="662"/>
      <c r="B92" s="288"/>
      <c r="C92" s="656"/>
      <c r="D92" s="659"/>
      <c r="E92" s="296" t="s">
        <v>137</v>
      </c>
      <c r="F92" s="122" t="s">
        <v>136</v>
      </c>
      <c r="G92" s="122">
        <v>100</v>
      </c>
      <c r="H92" s="300">
        <v>75.400000000000006</v>
      </c>
      <c r="I92" s="47">
        <f>H92/G92</f>
        <v>0.754</v>
      </c>
      <c r="J92" s="117" t="s">
        <v>37</v>
      </c>
      <c r="K92" s="117"/>
      <c r="L92" s="124">
        <v>100</v>
      </c>
      <c r="M92" s="101">
        <f>109.1+H92</f>
        <v>184.5</v>
      </c>
      <c r="N92" s="52">
        <f>L92/M92</f>
        <v>0.54200542005420049</v>
      </c>
      <c r="O92" s="297"/>
      <c r="P92" s="121"/>
      <c r="Q92" s="121"/>
      <c r="R92" s="121"/>
      <c r="S92" s="121"/>
      <c r="T92" s="121"/>
      <c r="U92" s="121"/>
      <c r="V92" s="298"/>
    </row>
    <row r="93" spans="1:22" ht="24.75" thickBot="1">
      <c r="A93" s="663"/>
      <c r="B93" s="288"/>
      <c r="C93" s="657"/>
      <c r="D93" s="660"/>
      <c r="E93" s="296" t="s">
        <v>138</v>
      </c>
      <c r="F93" s="117" t="s">
        <v>59</v>
      </c>
      <c r="G93" s="122">
        <v>20</v>
      </c>
      <c r="H93" s="123">
        <v>13</v>
      </c>
      <c r="I93" s="71">
        <f t="shared" ref="I93" si="16">H93/G93</f>
        <v>0.65</v>
      </c>
      <c r="J93" s="117" t="s">
        <v>37</v>
      </c>
      <c r="K93" s="117"/>
      <c r="L93" s="124">
        <v>23</v>
      </c>
      <c r="M93" s="101">
        <f>13+H93</f>
        <v>26</v>
      </c>
      <c r="N93" s="52">
        <v>1</v>
      </c>
      <c r="O93" s="297"/>
      <c r="P93" s="121"/>
      <c r="Q93" s="121"/>
      <c r="R93" s="121"/>
      <c r="S93" s="121"/>
      <c r="T93" s="121"/>
      <c r="U93" s="121"/>
      <c r="V93" s="298"/>
    </row>
    <row r="94" spans="1:22" ht="21" thickBot="1">
      <c r="A94" s="640" t="s">
        <v>139</v>
      </c>
      <c r="B94" s="641"/>
      <c r="C94" s="641"/>
      <c r="D94" s="641"/>
      <c r="E94" s="641"/>
      <c r="F94" s="641"/>
      <c r="G94" s="641"/>
      <c r="H94" s="642"/>
      <c r="I94" s="688">
        <f>(I8+I30+I48+I69+I74+I79)/6</f>
        <v>0.91152891434575267</v>
      </c>
      <c r="J94" s="301"/>
      <c r="K94" s="302"/>
      <c r="L94" s="303"/>
      <c r="M94" s="149">
        <f t="shared" ref="M94" si="17">H94</f>
        <v>0</v>
      </c>
      <c r="N94" s="304">
        <f>(N10+N11+N12+N13+N14+N15+N16+N17+N18+N20+N21+N22+N23+N24+N26+N27+N28+N29+N32+N33+N34+N35+N36+N37+N38+N39+N41+N42+N43+N44+N45+N46+N47+N49+N50+N51+N52+N53+N54+N55+N56+N57+N58+N61+N62+N63+N64+N65+N66+N68+N71+N73+N76+N78+N81+N82+N83+N84+N85+N86+N87+N89+N90+N91+N92+N93)/67</f>
        <v>0.52600880795283478</v>
      </c>
      <c r="O94" s="305">
        <f>O8+O30+O48+O69+O74+O79</f>
        <v>1.000087772613</v>
      </c>
      <c r="P94" s="306">
        <f>P8+P30+P48+P69+P74+P79</f>
        <v>11470076281</v>
      </c>
      <c r="Q94" s="307">
        <f>Q8+Q30+Q48+Q69+Q74+Q79</f>
        <v>10151844635.58</v>
      </c>
      <c r="R94" s="687">
        <f>Q94/P94</f>
        <v>0.88507211171702227</v>
      </c>
      <c r="S94" s="307">
        <f>S8+S30+S48+S69+S74+S79</f>
        <v>24302595625</v>
      </c>
      <c r="T94" s="306">
        <f>T8+T30+T48+T69+T74+T79</f>
        <v>39134752377</v>
      </c>
      <c r="U94" s="308">
        <f>T94/S94</f>
        <v>1.6103116301183158</v>
      </c>
      <c r="V94" s="309"/>
    </row>
    <row r="97" spans="7:14">
      <c r="N97" s="310"/>
    </row>
    <row r="100" spans="7:14">
      <c r="G100" s="311"/>
    </row>
  </sheetData>
  <mergeCells count="59">
    <mergeCell ref="A94:H94"/>
    <mergeCell ref="B74:B78"/>
    <mergeCell ref="C74:C78"/>
    <mergeCell ref="D74:D78"/>
    <mergeCell ref="E74:H74"/>
    <mergeCell ref="E75:H75"/>
    <mergeCell ref="E77:H77"/>
    <mergeCell ref="E79:H79"/>
    <mergeCell ref="C80:C93"/>
    <mergeCell ref="D80:D93"/>
    <mergeCell ref="E80:H80"/>
    <mergeCell ref="E88:H88"/>
    <mergeCell ref="A8:A93"/>
    <mergeCell ref="B8:B24"/>
    <mergeCell ref="C8:C24"/>
    <mergeCell ref="D8:D24"/>
    <mergeCell ref="B67:B68"/>
    <mergeCell ref="C67:C73"/>
    <mergeCell ref="D67:D68"/>
    <mergeCell ref="E67:H67"/>
    <mergeCell ref="B69:B73"/>
    <mergeCell ref="D69:D73"/>
    <mergeCell ref="E69:H69"/>
    <mergeCell ref="E70:H70"/>
    <mergeCell ref="E72:H72"/>
    <mergeCell ref="B48:B59"/>
    <mergeCell ref="C48:C59"/>
    <mergeCell ref="D48:D59"/>
    <mergeCell ref="E48:H48"/>
    <mergeCell ref="E49:H49"/>
    <mergeCell ref="E8:H8"/>
    <mergeCell ref="E9:H9"/>
    <mergeCell ref="C60:C66"/>
    <mergeCell ref="D60:D66"/>
    <mergeCell ref="E60:H60"/>
    <mergeCell ref="E19:H19"/>
    <mergeCell ref="E30:H30"/>
    <mergeCell ref="E31:H31"/>
    <mergeCell ref="E40:H40"/>
    <mergeCell ref="B25:B29"/>
    <mergeCell ref="C25:C29"/>
    <mergeCell ref="D25:D29"/>
    <mergeCell ref="E25:H25"/>
    <mergeCell ref="C30:C47"/>
    <mergeCell ref="D30:D47"/>
    <mergeCell ref="R1:V1"/>
    <mergeCell ref="A2:R2"/>
    <mergeCell ref="E3:V3"/>
    <mergeCell ref="A4:C4"/>
    <mergeCell ref="D4:D7"/>
    <mergeCell ref="E4:V4"/>
    <mergeCell ref="A5:A7"/>
    <mergeCell ref="B5:B7"/>
    <mergeCell ref="C5:C7"/>
    <mergeCell ref="E5:V5"/>
    <mergeCell ref="E6:E7"/>
    <mergeCell ref="F6:O6"/>
    <mergeCell ref="P6:U6"/>
    <mergeCell ref="V6:V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23" sqref="B23"/>
    </sheetView>
  </sheetViews>
  <sheetFormatPr baseColWidth="10" defaultRowHeight="12.75"/>
  <cols>
    <col min="1" max="1" width="47.42578125" style="401" customWidth="1"/>
    <col min="2" max="2" width="84.140625" style="401" customWidth="1"/>
    <col min="3" max="16384" width="11.42578125" style="401"/>
  </cols>
  <sheetData>
    <row r="1" spans="1:2" ht="14.25" thickBot="1">
      <c r="A1" s="670"/>
      <c r="B1" s="670"/>
    </row>
    <row r="2" spans="1:2" ht="14.25" thickBot="1">
      <c r="A2" s="671" t="s">
        <v>288</v>
      </c>
      <c r="B2" s="672"/>
    </row>
    <row r="3" spans="1:2" ht="14.25" thickBot="1">
      <c r="A3" s="673" t="s">
        <v>289</v>
      </c>
      <c r="B3" s="674"/>
    </row>
    <row r="4" spans="1:2">
      <c r="A4" s="556" t="s">
        <v>290</v>
      </c>
      <c r="B4" s="556" t="s">
        <v>291</v>
      </c>
    </row>
    <row r="5" spans="1:2" ht="36">
      <c r="A5" s="557" t="s">
        <v>292</v>
      </c>
      <c r="B5" s="558" t="s">
        <v>293</v>
      </c>
    </row>
    <row r="6" spans="1:2" ht="27">
      <c r="A6" s="557" t="s">
        <v>294</v>
      </c>
      <c r="B6" s="558" t="s">
        <v>295</v>
      </c>
    </row>
    <row r="7" spans="1:2" ht="18">
      <c r="A7" s="557" t="s">
        <v>296</v>
      </c>
      <c r="B7" s="558" t="s">
        <v>297</v>
      </c>
    </row>
    <row r="8" spans="1:2" ht="27">
      <c r="A8" s="557" t="s">
        <v>298</v>
      </c>
      <c r="B8" s="558" t="s">
        <v>299</v>
      </c>
    </row>
    <row r="9" spans="1:2" ht="45">
      <c r="A9" s="557" t="s">
        <v>300</v>
      </c>
      <c r="B9" s="558" t="s">
        <v>301</v>
      </c>
    </row>
    <row r="10" spans="1:2" ht="18">
      <c r="A10" s="557" t="s">
        <v>302</v>
      </c>
      <c r="B10" s="558" t="s">
        <v>303</v>
      </c>
    </row>
    <row r="11" spans="1:2" ht="36">
      <c r="A11" s="557" t="s">
        <v>304</v>
      </c>
      <c r="B11" s="558" t="s">
        <v>305</v>
      </c>
    </row>
    <row r="12" spans="1:2" ht="18">
      <c r="A12" s="557" t="s">
        <v>306</v>
      </c>
      <c r="B12" s="558" t="s">
        <v>307</v>
      </c>
    </row>
    <row r="13" spans="1:2" ht="18">
      <c r="A13" s="557" t="s">
        <v>308</v>
      </c>
      <c r="B13" s="558" t="s">
        <v>309</v>
      </c>
    </row>
    <row r="14" spans="1:2" ht="18">
      <c r="A14" s="557" t="s">
        <v>310</v>
      </c>
      <c r="B14" s="558" t="s">
        <v>311</v>
      </c>
    </row>
    <row r="15" spans="1:2" ht="18">
      <c r="A15" s="557" t="s">
        <v>312</v>
      </c>
      <c r="B15" s="558" t="s">
        <v>313</v>
      </c>
    </row>
    <row r="16" spans="1:2" ht="18">
      <c r="A16" s="557" t="s">
        <v>314</v>
      </c>
      <c r="B16" s="558" t="s">
        <v>315</v>
      </c>
    </row>
    <row r="17" spans="1:2" ht="36">
      <c r="A17" s="557" t="s">
        <v>316</v>
      </c>
      <c r="B17" s="558" t="s">
        <v>317</v>
      </c>
    </row>
    <row r="18" spans="1:2" ht="18">
      <c r="A18" s="557" t="s">
        <v>318</v>
      </c>
      <c r="B18" s="558" t="s">
        <v>319</v>
      </c>
    </row>
    <row r="19" spans="1:2" ht="18">
      <c r="A19" s="557" t="s">
        <v>320</v>
      </c>
      <c r="B19" s="558" t="s">
        <v>321</v>
      </c>
    </row>
    <row r="20" spans="1:2" ht="18">
      <c r="A20" s="557" t="s">
        <v>322</v>
      </c>
      <c r="B20" s="558" t="s">
        <v>323</v>
      </c>
    </row>
    <row r="21" spans="1:2" ht="18">
      <c r="A21" s="557" t="s">
        <v>324</v>
      </c>
      <c r="B21" s="558" t="s">
        <v>325</v>
      </c>
    </row>
    <row r="22" spans="1:2" ht="18">
      <c r="A22" s="557" t="s">
        <v>326</v>
      </c>
      <c r="B22" s="558" t="s">
        <v>327</v>
      </c>
    </row>
    <row r="23" spans="1:2" ht="81.75" thickBot="1">
      <c r="A23" s="559" t="s">
        <v>328</v>
      </c>
      <c r="B23" s="560" t="s">
        <v>329</v>
      </c>
    </row>
  </sheetData>
  <mergeCells count="3">
    <mergeCell ref="A1:B1"/>
    <mergeCell ref="A2:B2"/>
    <mergeCell ref="A3:B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workbookViewId="0">
      <selection activeCell="G34" sqref="G34"/>
    </sheetView>
  </sheetViews>
  <sheetFormatPr baseColWidth="10" defaultRowHeight="12.75"/>
  <cols>
    <col min="1" max="1" width="9.140625" style="313" customWidth="1"/>
    <col min="2" max="2" width="49" style="313" customWidth="1"/>
    <col min="3" max="4" width="20.5703125" style="313" customWidth="1"/>
    <col min="5" max="6" width="11.42578125" style="313"/>
    <col min="7" max="7" width="37.42578125" style="313" customWidth="1"/>
    <col min="8" max="9" width="17.5703125" style="313" bestFit="1" customWidth="1"/>
    <col min="10" max="10" width="16.5703125" style="313" bestFit="1" customWidth="1"/>
    <col min="11" max="16384" width="11.42578125" style="313"/>
  </cols>
  <sheetData>
    <row r="1" spans="1:8">
      <c r="A1" s="312"/>
      <c r="B1" s="312"/>
      <c r="C1" s="312"/>
      <c r="D1" s="312"/>
    </row>
    <row r="3" spans="1:8">
      <c r="A3" s="675" t="s">
        <v>140</v>
      </c>
      <c r="B3" s="675"/>
      <c r="C3" s="675"/>
      <c r="D3" s="675"/>
    </row>
    <row r="4" spans="1:8">
      <c r="A4" s="676" t="s">
        <v>141</v>
      </c>
      <c r="B4" s="676"/>
      <c r="C4" s="676"/>
      <c r="D4" s="676"/>
    </row>
    <row r="5" spans="1:8">
      <c r="A5" s="676" t="s">
        <v>142</v>
      </c>
      <c r="B5" s="676"/>
      <c r="C5" s="676"/>
      <c r="D5" s="676"/>
    </row>
    <row r="6" spans="1:8" ht="13.5" thickBot="1">
      <c r="A6" s="676" t="s">
        <v>143</v>
      </c>
      <c r="B6" s="676"/>
      <c r="C6" s="676"/>
      <c r="D6" s="676"/>
    </row>
    <row r="7" spans="1:8" ht="13.5" thickBot="1">
      <c r="A7" s="314" t="s">
        <v>144</v>
      </c>
      <c r="B7" s="315" t="s">
        <v>145</v>
      </c>
      <c r="C7" s="315" t="s">
        <v>146</v>
      </c>
      <c r="D7" s="316" t="s">
        <v>147</v>
      </c>
    </row>
    <row r="8" spans="1:8">
      <c r="A8" s="317" t="s">
        <v>148</v>
      </c>
      <c r="B8" s="318" t="s">
        <v>149</v>
      </c>
      <c r="C8" s="319">
        <f>C9+C39</f>
        <v>13649383209</v>
      </c>
      <c r="D8" s="319">
        <f>D9+D39</f>
        <v>11653161613.439999</v>
      </c>
      <c r="E8" s="320">
        <f>D8/C8</f>
        <v>0.85375005119324721</v>
      </c>
    </row>
    <row r="9" spans="1:8">
      <c r="A9" s="321" t="s">
        <v>150</v>
      </c>
      <c r="B9" s="322" t="s">
        <v>151</v>
      </c>
      <c r="C9" s="323">
        <f>C10+C14</f>
        <v>8207550000</v>
      </c>
      <c r="D9" s="323">
        <f>D10+D14</f>
        <v>6124196203.7799997</v>
      </c>
      <c r="E9" s="320">
        <f>D9/C9</f>
        <v>0.74616617672508845</v>
      </c>
    </row>
    <row r="10" spans="1:8">
      <c r="A10" s="324" t="s">
        <v>152</v>
      </c>
      <c r="B10" s="325" t="s">
        <v>153</v>
      </c>
      <c r="C10" s="326">
        <f>SUM(C11:C13)</f>
        <v>3260000000</v>
      </c>
      <c r="D10" s="326">
        <f>SUM(D11:D13)</f>
        <v>3138877294</v>
      </c>
    </row>
    <row r="11" spans="1:8">
      <c r="A11" s="327"/>
      <c r="B11" s="328" t="s">
        <v>154</v>
      </c>
      <c r="C11" s="329">
        <v>0</v>
      </c>
      <c r="D11" s="329"/>
    </row>
    <row r="12" spans="1:8">
      <c r="A12" s="330" t="s">
        <v>155</v>
      </c>
      <c r="B12" s="328" t="s">
        <v>156</v>
      </c>
      <c r="C12" s="329">
        <v>3260000000</v>
      </c>
      <c r="D12" s="329">
        <v>3138877294</v>
      </c>
      <c r="E12" s="320">
        <f>D12/C12</f>
        <v>0.96284579570552142</v>
      </c>
    </row>
    <row r="13" spans="1:8">
      <c r="A13" s="330"/>
      <c r="B13" s="328" t="s">
        <v>157</v>
      </c>
      <c r="C13" s="329">
        <v>0</v>
      </c>
      <c r="D13" s="329"/>
      <c r="H13" s="331"/>
    </row>
    <row r="14" spans="1:8">
      <c r="A14" s="332" t="s">
        <v>158</v>
      </c>
      <c r="B14" s="325" t="s">
        <v>159</v>
      </c>
      <c r="C14" s="326">
        <f>C21+C25+C33+C35</f>
        <v>4947550000</v>
      </c>
      <c r="D14" s="326">
        <f>D21+D25+D33+D35</f>
        <v>2985318909.7799997</v>
      </c>
      <c r="H14" s="331"/>
    </row>
    <row r="15" spans="1:8">
      <c r="A15" s="330"/>
      <c r="B15" s="333" t="s">
        <v>160</v>
      </c>
      <c r="C15" s="334">
        <f>SUM(C16:C17)</f>
        <v>0</v>
      </c>
      <c r="D15" s="334">
        <f>SUM(D16:D17)</f>
        <v>0</v>
      </c>
      <c r="H15" s="331"/>
    </row>
    <row r="16" spans="1:8">
      <c r="A16" s="330"/>
      <c r="B16" s="328" t="s">
        <v>160</v>
      </c>
      <c r="C16" s="329">
        <v>0</v>
      </c>
      <c r="D16" s="329"/>
      <c r="H16" s="331"/>
    </row>
    <row r="17" spans="1:8">
      <c r="A17" s="330"/>
      <c r="B17" s="335" t="s">
        <v>161</v>
      </c>
      <c r="C17" s="329">
        <v>0</v>
      </c>
      <c r="D17" s="329">
        <v>0</v>
      </c>
      <c r="H17" s="331"/>
    </row>
    <row r="18" spans="1:8">
      <c r="A18" s="330"/>
      <c r="B18" s="333" t="s">
        <v>162</v>
      </c>
      <c r="C18" s="336">
        <v>0</v>
      </c>
      <c r="D18" s="336"/>
      <c r="H18" s="337"/>
    </row>
    <row r="19" spans="1:8">
      <c r="A19" s="330"/>
      <c r="B19" s="333" t="s">
        <v>163</v>
      </c>
      <c r="C19" s="336">
        <v>0</v>
      </c>
      <c r="D19" s="336"/>
    </row>
    <row r="20" spans="1:8">
      <c r="A20" s="330"/>
      <c r="B20" s="333" t="s">
        <v>164</v>
      </c>
      <c r="C20" s="336">
        <v>0</v>
      </c>
      <c r="D20" s="336"/>
    </row>
    <row r="21" spans="1:8">
      <c r="A21" s="330"/>
      <c r="B21" s="333" t="s">
        <v>165</v>
      </c>
      <c r="C21" s="334">
        <f>SUM(C22:C24)</f>
        <v>2574550000</v>
      </c>
      <c r="D21" s="336">
        <f>SUM(D22:D24)</f>
        <v>1622789890</v>
      </c>
    </row>
    <row r="22" spans="1:8">
      <c r="A22" s="330" t="s">
        <v>166</v>
      </c>
      <c r="B22" s="328" t="s">
        <v>167</v>
      </c>
      <c r="C22" s="338">
        <v>1900000000</v>
      </c>
      <c r="D22" s="329">
        <v>1335489890</v>
      </c>
      <c r="E22" s="320">
        <f>D22/C22</f>
        <v>0.70288941578947373</v>
      </c>
    </row>
    <row r="23" spans="1:8">
      <c r="A23" s="330" t="s">
        <v>168</v>
      </c>
      <c r="B23" s="328" t="s">
        <v>169</v>
      </c>
      <c r="C23" s="329">
        <f>387550000+200000000+87000000</f>
        <v>674550000</v>
      </c>
      <c r="D23" s="329">
        <v>287300000</v>
      </c>
      <c r="E23" s="320">
        <f>D23/C23</f>
        <v>0.4259135720109703</v>
      </c>
    </row>
    <row r="24" spans="1:8">
      <c r="A24" s="330"/>
      <c r="B24" s="328" t="s">
        <v>170</v>
      </c>
      <c r="C24" s="329">
        <v>0</v>
      </c>
      <c r="D24" s="329"/>
    </row>
    <row r="25" spans="1:8">
      <c r="A25" s="330" t="s">
        <v>171</v>
      </c>
      <c r="B25" s="333" t="s">
        <v>172</v>
      </c>
      <c r="C25" s="334">
        <f>SUM(C26:C32)</f>
        <v>1622000000</v>
      </c>
      <c r="D25" s="334">
        <f>SUM(D26:D32)</f>
        <v>1087785287.28</v>
      </c>
    </row>
    <row r="26" spans="1:8">
      <c r="A26" s="330" t="s">
        <v>173</v>
      </c>
      <c r="B26" s="328" t="s">
        <v>174</v>
      </c>
      <c r="C26" s="329">
        <v>450000000</v>
      </c>
      <c r="D26" s="329">
        <v>199497876.99000001</v>
      </c>
      <c r="E26" s="339">
        <f t="shared" ref="E26" si="0">D26/C26</f>
        <v>0.44332861553333336</v>
      </c>
    </row>
    <row r="27" spans="1:8">
      <c r="A27" s="330"/>
      <c r="B27" s="328" t="s">
        <v>175</v>
      </c>
      <c r="C27" s="329"/>
      <c r="D27" s="329"/>
      <c r="E27" s="339"/>
    </row>
    <row r="28" spans="1:8">
      <c r="A28" s="330" t="s">
        <v>176</v>
      </c>
      <c r="B28" s="328" t="s">
        <v>177</v>
      </c>
      <c r="C28" s="329">
        <v>460000000</v>
      </c>
      <c r="D28" s="329">
        <v>382403626</v>
      </c>
      <c r="E28" s="339">
        <f>D28/C28</f>
        <v>0.83131223043478264</v>
      </c>
    </row>
    <row r="29" spans="1:8">
      <c r="A29" s="330" t="s">
        <v>178</v>
      </c>
      <c r="B29" s="328" t="s">
        <v>179</v>
      </c>
      <c r="C29" s="329">
        <v>2000000</v>
      </c>
      <c r="D29" s="329">
        <v>11457795.42</v>
      </c>
      <c r="E29" s="339">
        <f t="shared" ref="E29:E38" si="1">D29/C29</f>
        <v>5.72889771</v>
      </c>
    </row>
    <row r="30" spans="1:8">
      <c r="A30" s="330" t="s">
        <v>180</v>
      </c>
      <c r="B30" s="328" t="s">
        <v>181</v>
      </c>
      <c r="C30" s="329">
        <v>160000000</v>
      </c>
      <c r="D30" s="329">
        <v>321169230.01999998</v>
      </c>
      <c r="E30" s="339">
        <f t="shared" si="1"/>
        <v>2.007307687625</v>
      </c>
    </row>
    <row r="31" spans="1:8">
      <c r="A31" s="340" t="s">
        <v>182</v>
      </c>
      <c r="B31" s="341" t="s">
        <v>183</v>
      </c>
      <c r="C31" s="342">
        <v>550000000</v>
      </c>
      <c r="D31" s="342">
        <v>173256758.84999999</v>
      </c>
      <c r="E31" s="339">
        <f t="shared" si="1"/>
        <v>0.31501228881818183</v>
      </c>
    </row>
    <row r="32" spans="1:8">
      <c r="A32" s="330"/>
      <c r="B32" s="341" t="s">
        <v>184</v>
      </c>
      <c r="C32" s="342"/>
      <c r="D32" s="342"/>
      <c r="E32" s="339"/>
    </row>
    <row r="33" spans="1:8">
      <c r="A33" s="330" t="s">
        <v>185</v>
      </c>
      <c r="B33" s="333" t="s">
        <v>186</v>
      </c>
      <c r="C33" s="336">
        <f>C34</f>
        <v>480000000</v>
      </c>
      <c r="D33" s="336">
        <f>D34</f>
        <v>3000000</v>
      </c>
      <c r="E33" s="339">
        <f t="shared" si="1"/>
        <v>6.2500000000000003E-3</v>
      </c>
    </row>
    <row r="34" spans="1:8">
      <c r="A34" s="340" t="s">
        <v>187</v>
      </c>
      <c r="B34" s="335" t="s">
        <v>188</v>
      </c>
      <c r="C34" s="329">
        <v>480000000</v>
      </c>
      <c r="D34" s="329">
        <v>3000000</v>
      </c>
      <c r="E34" s="339">
        <f t="shared" si="1"/>
        <v>6.2500000000000003E-3</v>
      </c>
    </row>
    <row r="35" spans="1:8">
      <c r="A35" s="330" t="s">
        <v>189</v>
      </c>
      <c r="B35" s="333" t="s">
        <v>190</v>
      </c>
      <c r="C35" s="343">
        <f>SUM(C36:C38)</f>
        <v>271000000</v>
      </c>
      <c r="D35" s="336">
        <f>D36+D37+D38</f>
        <v>271743732.5</v>
      </c>
      <c r="E35" s="339">
        <f t="shared" si="1"/>
        <v>1.0027444003690036</v>
      </c>
    </row>
    <row r="36" spans="1:8">
      <c r="A36" s="330" t="s">
        <v>191</v>
      </c>
      <c r="B36" s="335" t="s">
        <v>192</v>
      </c>
      <c r="C36" s="344">
        <v>260000000</v>
      </c>
      <c r="D36" s="329">
        <v>249844150.5</v>
      </c>
      <c r="E36" s="339">
        <f t="shared" si="1"/>
        <v>0.96093904038461542</v>
      </c>
    </row>
    <row r="37" spans="1:8">
      <c r="A37" s="330" t="s">
        <v>193</v>
      </c>
      <c r="B37" s="335" t="s">
        <v>194</v>
      </c>
      <c r="C37" s="344">
        <v>10000000</v>
      </c>
      <c r="D37" s="345">
        <v>19017135</v>
      </c>
      <c r="E37" s="339">
        <f t="shared" si="1"/>
        <v>1.9017135000000001</v>
      </c>
    </row>
    <row r="38" spans="1:8">
      <c r="A38" s="330" t="s">
        <v>195</v>
      </c>
      <c r="B38" s="328" t="s">
        <v>190</v>
      </c>
      <c r="C38" s="344">
        <v>1000000</v>
      </c>
      <c r="D38" s="329">
        <v>2882447</v>
      </c>
      <c r="E38" s="339">
        <f t="shared" si="1"/>
        <v>2.882447</v>
      </c>
    </row>
    <row r="39" spans="1:8">
      <c r="A39" s="346" t="s">
        <v>196</v>
      </c>
      <c r="B39" s="347" t="s">
        <v>197</v>
      </c>
      <c r="C39" s="348">
        <f>+C40+C43+C46+C49+C53+C57</f>
        <v>5441833209</v>
      </c>
      <c r="D39" s="348">
        <f>+D40+D43+D46+D57+D49+D53</f>
        <v>5528965409.6599998</v>
      </c>
      <c r="E39" s="320">
        <f>D39/C39</f>
        <v>1.0160115529663598</v>
      </c>
    </row>
    <row r="40" spans="1:8">
      <c r="A40" s="349"/>
      <c r="B40" s="350" t="s">
        <v>198</v>
      </c>
      <c r="C40" s="351">
        <f>SUM(C41:C42)</f>
        <v>0</v>
      </c>
      <c r="D40" s="351">
        <f>SUM(D41:D42)</f>
        <v>0</v>
      </c>
      <c r="E40" s="320"/>
    </row>
    <row r="41" spans="1:8">
      <c r="A41" s="349"/>
      <c r="B41" s="328" t="s">
        <v>199</v>
      </c>
      <c r="C41" s="329">
        <v>0</v>
      </c>
      <c r="D41" s="329"/>
      <c r="E41" s="320"/>
    </row>
    <row r="42" spans="1:8">
      <c r="A42" s="330"/>
      <c r="B42" s="328" t="s">
        <v>200</v>
      </c>
      <c r="C42" s="329">
        <v>0</v>
      </c>
      <c r="D42" s="329"/>
      <c r="E42" s="320"/>
    </row>
    <row r="43" spans="1:8">
      <c r="A43" s="349"/>
      <c r="B43" s="350" t="s">
        <v>201</v>
      </c>
      <c r="C43" s="351">
        <f>SUM(C44:C45)</f>
        <v>0</v>
      </c>
      <c r="D43" s="351">
        <f>SUM(D44:D45)</f>
        <v>0</v>
      </c>
      <c r="E43" s="320"/>
    </row>
    <row r="44" spans="1:8">
      <c r="A44" s="349"/>
      <c r="B44" s="328" t="s">
        <v>199</v>
      </c>
      <c r="C44" s="329">
        <v>0</v>
      </c>
      <c r="D44" s="329"/>
      <c r="E44" s="320"/>
    </row>
    <row r="45" spans="1:8">
      <c r="A45" s="330"/>
      <c r="B45" s="328" t="s">
        <v>200</v>
      </c>
      <c r="C45" s="329">
        <v>0</v>
      </c>
      <c r="D45" s="329"/>
      <c r="E45" s="320"/>
    </row>
    <row r="46" spans="1:8">
      <c r="A46" s="352" t="s">
        <v>202</v>
      </c>
      <c r="B46" s="353" t="s">
        <v>203</v>
      </c>
      <c r="C46" s="354">
        <v>52755000</v>
      </c>
      <c r="D46" s="354">
        <v>118421619.81</v>
      </c>
      <c r="E46" s="320">
        <f t="shared" ref="E46:E56" si="2">D46/C46</f>
        <v>2.2447468450383852</v>
      </c>
    </row>
    <row r="47" spans="1:8">
      <c r="A47" s="355" t="s">
        <v>204</v>
      </c>
      <c r="B47" s="350" t="s">
        <v>205</v>
      </c>
      <c r="C47" s="351">
        <f>C48+C49+C50+C51+C52+C522+C53</f>
        <v>5389078209</v>
      </c>
      <c r="D47" s="351">
        <f>D48+D49+D50+D51+D52+D522+D53</f>
        <v>5410543789.8500004</v>
      </c>
      <c r="E47" s="320">
        <f t="shared" si="2"/>
        <v>1.0039831637281031</v>
      </c>
    </row>
    <row r="48" spans="1:8">
      <c r="A48" s="349"/>
      <c r="B48" s="328" t="s">
        <v>206</v>
      </c>
      <c r="C48" s="356">
        <v>0</v>
      </c>
      <c r="D48" s="356"/>
      <c r="E48" s="320"/>
      <c r="H48" s="331"/>
    </row>
    <row r="49" spans="1:9">
      <c r="A49" s="349"/>
      <c r="B49" s="328" t="s">
        <v>207</v>
      </c>
      <c r="C49" s="356">
        <f>12531620.5+520000000+33688804+189488034+267379538+1372889793.5</f>
        <v>2395977790</v>
      </c>
      <c r="D49" s="356">
        <f>33688804+520000000+189488034+267379538+1372889793.5</f>
        <v>2383446169.5</v>
      </c>
      <c r="E49" s="320">
        <f t="shared" si="2"/>
        <v>0.99476972593306046</v>
      </c>
      <c r="H49" s="357"/>
      <c r="I49" s="358"/>
    </row>
    <row r="50" spans="1:9">
      <c r="A50" s="349"/>
      <c r="B50" s="328" t="s">
        <v>208</v>
      </c>
      <c r="C50" s="356">
        <v>0</v>
      </c>
      <c r="D50" s="356"/>
      <c r="E50" s="320"/>
      <c r="G50" s="331"/>
      <c r="H50" s="358"/>
      <c r="I50" s="358"/>
    </row>
    <row r="51" spans="1:9">
      <c r="A51" s="349"/>
      <c r="B51" s="328" t="s">
        <v>209</v>
      </c>
      <c r="C51" s="356"/>
      <c r="D51" s="356"/>
      <c r="E51" s="320"/>
      <c r="H51" s="357"/>
      <c r="I51" s="357"/>
    </row>
    <row r="52" spans="1:9" ht="13.5" thickBot="1">
      <c r="A52" s="359"/>
      <c r="B52" s="360" t="s">
        <v>210</v>
      </c>
      <c r="C52" s="361">
        <v>0</v>
      </c>
      <c r="D52" s="361"/>
      <c r="E52" s="320"/>
      <c r="G52" s="331"/>
      <c r="H52" s="358"/>
      <c r="I52" s="357"/>
    </row>
    <row r="53" spans="1:9" ht="13.5" thickBot="1">
      <c r="A53" s="362" t="s">
        <v>204</v>
      </c>
      <c r="B53" s="363" t="s">
        <v>211</v>
      </c>
      <c r="C53" s="364">
        <f>SUM(C54:C56)</f>
        <v>2993100419</v>
      </c>
      <c r="D53" s="365">
        <f>SUM(D54:D56)</f>
        <v>3027097620.3499999</v>
      </c>
      <c r="E53" s="320">
        <f t="shared" si="2"/>
        <v>1.0113585234675682</v>
      </c>
      <c r="G53" s="331"/>
      <c r="H53" s="358"/>
      <c r="I53" s="357"/>
    </row>
    <row r="54" spans="1:9">
      <c r="A54" s="366" t="s">
        <v>212</v>
      </c>
      <c r="B54" s="367" t="s">
        <v>213</v>
      </c>
      <c r="C54" s="368">
        <v>999000000</v>
      </c>
      <c r="D54" s="369">
        <v>170565968.34999999</v>
      </c>
      <c r="E54" s="320">
        <f t="shared" si="2"/>
        <v>0.17073670505505506</v>
      </c>
      <c r="H54" s="357"/>
      <c r="I54" s="358"/>
    </row>
    <row r="55" spans="1:9">
      <c r="A55" s="370" t="s">
        <v>214</v>
      </c>
      <c r="B55" s="328" t="s">
        <v>215</v>
      </c>
      <c r="C55" s="356">
        <v>1993100419</v>
      </c>
      <c r="D55" s="371">
        <v>2830753424</v>
      </c>
      <c r="E55" s="320">
        <f t="shared" si="2"/>
        <v>1.4202763679214299</v>
      </c>
      <c r="H55" s="357"/>
      <c r="I55" s="358"/>
    </row>
    <row r="56" spans="1:9">
      <c r="A56" s="372" t="s">
        <v>216</v>
      </c>
      <c r="B56" s="335" t="s">
        <v>217</v>
      </c>
      <c r="C56" s="356">
        <v>1000000</v>
      </c>
      <c r="D56" s="356">
        <v>25778228</v>
      </c>
      <c r="E56" s="320">
        <f t="shared" si="2"/>
        <v>25.778227999999999</v>
      </c>
      <c r="G56" s="331"/>
      <c r="H56" s="357"/>
      <c r="I56" s="357"/>
    </row>
    <row r="57" spans="1:9" ht="13.5" thickBot="1">
      <c r="A57" s="372"/>
      <c r="B57" s="373" t="s">
        <v>218</v>
      </c>
      <c r="C57" s="374">
        <v>0</v>
      </c>
      <c r="D57" s="374"/>
      <c r="E57" s="320"/>
      <c r="G57" s="331"/>
    </row>
    <row r="58" spans="1:9" ht="13.5" thickBot="1">
      <c r="A58" s="375" t="s">
        <v>219</v>
      </c>
      <c r="B58" s="376" t="s">
        <v>220</v>
      </c>
      <c r="C58" s="377">
        <f>SUM(C59:C62)</f>
        <v>6581710301</v>
      </c>
      <c r="D58" s="378">
        <f>SUM(D59:D62)</f>
        <v>6316895126</v>
      </c>
      <c r="E58" s="320">
        <f>D58/C58</f>
        <v>0.95976499072592647</v>
      </c>
      <c r="G58" s="331"/>
    </row>
    <row r="59" spans="1:9">
      <c r="A59" s="379" t="s">
        <v>221</v>
      </c>
      <c r="B59" s="380" t="s">
        <v>222</v>
      </c>
      <c r="C59" s="381">
        <v>3241557000</v>
      </c>
      <c r="D59" s="382">
        <v>3844461298</v>
      </c>
    </row>
    <row r="60" spans="1:9">
      <c r="A60" s="379"/>
      <c r="B60" s="383" t="s">
        <v>223</v>
      </c>
      <c r="C60" s="384">
        <v>867719473</v>
      </c>
      <c r="D60" s="384">
        <v>0</v>
      </c>
    </row>
    <row r="61" spans="1:9">
      <c r="A61" s="385"/>
      <c r="B61" s="386" t="s">
        <v>224</v>
      </c>
      <c r="C61" s="384">
        <v>2472433828</v>
      </c>
      <c r="D61" s="384">
        <v>2472433828</v>
      </c>
    </row>
    <row r="62" spans="1:9" ht="13.5" thickBot="1">
      <c r="A62" s="387"/>
      <c r="B62" s="388" t="s">
        <v>225</v>
      </c>
      <c r="C62" s="389"/>
      <c r="D62" s="390"/>
    </row>
    <row r="63" spans="1:9" ht="13.5" thickBot="1">
      <c r="A63" s="391"/>
      <c r="B63" s="392" t="s">
        <v>226</v>
      </c>
      <c r="C63" s="393">
        <f>+C8+C58</f>
        <v>20231093510</v>
      </c>
      <c r="D63" s="393">
        <f>+D8+D58</f>
        <v>17970056739.439999</v>
      </c>
      <c r="E63" s="320">
        <f>D63/C63</f>
        <v>0.88823951758008546</v>
      </c>
    </row>
    <row r="65" spans="3:10">
      <c r="C65" s="331"/>
      <c r="D65" s="331"/>
      <c r="G65" s="394"/>
      <c r="H65" s="394" t="str">
        <f t="shared" ref="H65:I65" si="3">C7</f>
        <v>Apropiado</v>
      </c>
      <c r="I65" s="394" t="str">
        <f t="shared" si="3"/>
        <v>Recaudado</v>
      </c>
      <c r="J65" s="394" t="s">
        <v>36</v>
      </c>
    </row>
    <row r="66" spans="3:10">
      <c r="G66" s="394" t="str">
        <f>B9</f>
        <v>INGRESOS CORRIENTES</v>
      </c>
      <c r="H66" s="395">
        <f>C9</f>
        <v>8207550000</v>
      </c>
      <c r="I66" s="395">
        <f>D9</f>
        <v>6124196203.7799997</v>
      </c>
      <c r="J66" s="396">
        <f>E9</f>
        <v>0.74616617672508845</v>
      </c>
    </row>
    <row r="67" spans="3:10">
      <c r="G67" s="394" t="str">
        <f>B39</f>
        <v>RECURSOS DE CAPITAL</v>
      </c>
      <c r="H67" s="395">
        <f>C39</f>
        <v>5441833209</v>
      </c>
      <c r="I67" s="395">
        <f>D39</f>
        <v>5528965409.6599998</v>
      </c>
      <c r="J67" s="396">
        <f>E39</f>
        <v>1.0160115529663598</v>
      </c>
    </row>
    <row r="68" spans="3:10">
      <c r="G68" s="397" t="s">
        <v>227</v>
      </c>
      <c r="H68" s="398">
        <f>C58</f>
        <v>6581710301</v>
      </c>
      <c r="I68" s="395">
        <f>D58</f>
        <v>6316895126</v>
      </c>
      <c r="J68" s="396">
        <f>E58</f>
        <v>0.95976499072592647</v>
      </c>
    </row>
    <row r="69" spans="3:10">
      <c r="G69" s="397" t="s">
        <v>228</v>
      </c>
      <c r="H69" s="398" t="e">
        <f>#REF!</f>
        <v>#REF!</v>
      </c>
      <c r="I69" s="395" t="e">
        <f>#REF!</f>
        <v>#REF!</v>
      </c>
      <c r="J69" s="399">
        <v>1</v>
      </c>
    </row>
    <row r="70" spans="3:10">
      <c r="G70" s="394" t="s">
        <v>229</v>
      </c>
      <c r="H70" s="398">
        <f>C63</f>
        <v>20231093510</v>
      </c>
      <c r="I70" s="395">
        <f>D63</f>
        <v>17970056739.439999</v>
      </c>
      <c r="J70" s="399">
        <f>I70/H70</f>
        <v>0.88823951758008546</v>
      </c>
    </row>
  </sheetData>
  <mergeCells count="4">
    <mergeCell ref="A3:D3"/>
    <mergeCell ref="A4:D4"/>
    <mergeCell ref="A5:D5"/>
    <mergeCell ref="A6:D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opLeftCell="A10" workbookViewId="0">
      <selection activeCell="E38" sqref="E38"/>
    </sheetView>
  </sheetViews>
  <sheetFormatPr baseColWidth="10" defaultRowHeight="12.75"/>
  <cols>
    <col min="1" max="1" width="46" style="401" customWidth="1"/>
    <col min="2" max="2" width="17" style="401" customWidth="1"/>
    <col min="3" max="3" width="15" style="401" customWidth="1"/>
    <col min="4" max="4" width="15.85546875" style="401" customWidth="1"/>
    <col min="5" max="5" width="15.42578125" style="401" customWidth="1"/>
    <col min="6" max="6" width="15" style="401" customWidth="1"/>
    <col min="7" max="11" width="15.7109375" style="401" customWidth="1"/>
    <col min="12" max="12" width="15" style="401" customWidth="1"/>
    <col min="13" max="13" width="15.85546875" style="401" customWidth="1"/>
    <col min="14" max="14" width="11.42578125" style="401"/>
    <col min="15" max="15" width="20.7109375" style="401" customWidth="1"/>
    <col min="16" max="16" width="20.5703125" style="401" customWidth="1"/>
    <col min="17" max="17" width="22.28515625" style="401" customWidth="1"/>
    <col min="18" max="18" width="21" style="401" customWidth="1"/>
    <col min="19" max="19" width="17.5703125" style="401" bestFit="1" customWidth="1"/>
    <col min="20" max="20" width="11.42578125" style="401"/>
    <col min="21" max="21" width="15.7109375" style="401" customWidth="1"/>
    <col min="22" max="22" width="20" style="401" customWidth="1"/>
    <col min="23" max="24" width="18.85546875" style="401" customWidth="1"/>
    <col min="25" max="16384" width="11.42578125" style="401"/>
  </cols>
  <sheetData>
    <row r="1" spans="1:17">
      <c r="A1" s="682"/>
      <c r="B1" s="682"/>
      <c r="C1" s="682"/>
      <c r="D1" s="682"/>
      <c r="E1" s="682"/>
      <c r="F1" s="682"/>
      <c r="G1" s="682"/>
      <c r="H1" s="682"/>
      <c r="I1" s="682"/>
      <c r="J1" s="682"/>
      <c r="K1" s="682"/>
      <c r="L1" s="682"/>
      <c r="M1" s="400"/>
    </row>
    <row r="2" spans="1:17" ht="15.75" thickBot="1">
      <c r="A2" s="683" t="s">
        <v>230</v>
      </c>
      <c r="B2" s="683"/>
      <c r="C2" s="683"/>
      <c r="D2" s="683"/>
      <c r="E2" s="683"/>
      <c r="F2" s="683"/>
      <c r="G2" s="683"/>
      <c r="H2" s="683"/>
      <c r="I2" s="683"/>
      <c r="J2" s="683"/>
      <c r="K2" s="683"/>
      <c r="L2" s="683"/>
      <c r="M2"/>
      <c r="O2" s="402"/>
    </row>
    <row r="3" spans="1:17" ht="13.5" thickBot="1">
      <c r="A3" s="684" t="s">
        <v>231</v>
      </c>
      <c r="B3" s="685"/>
      <c r="C3" s="685"/>
      <c r="D3" s="685"/>
      <c r="E3" s="685"/>
      <c r="F3" s="685"/>
      <c r="G3" s="685"/>
      <c r="H3" s="685"/>
      <c r="I3" s="685"/>
      <c r="J3" s="685"/>
      <c r="K3" s="685"/>
      <c r="L3" s="685"/>
      <c r="M3" s="686"/>
      <c r="O3" s="402"/>
    </row>
    <row r="4" spans="1:17" ht="13.5" thickBot="1">
      <c r="A4" s="684" t="s">
        <v>232</v>
      </c>
      <c r="B4" s="685"/>
      <c r="C4" s="685"/>
      <c r="D4" s="685"/>
      <c r="E4" s="685"/>
      <c r="F4" s="685"/>
      <c r="G4" s="685"/>
      <c r="H4" s="685"/>
      <c r="I4" s="685"/>
      <c r="J4" s="685"/>
      <c r="K4" s="685"/>
      <c r="L4" s="685"/>
      <c r="M4" s="686"/>
      <c r="O4" s="402"/>
      <c r="Q4" s="402"/>
    </row>
    <row r="5" spans="1:17" ht="15.75" thickBot="1">
      <c r="A5" s="403" t="s">
        <v>233</v>
      </c>
      <c r="B5" s="404"/>
      <c r="C5" s="405"/>
      <c r="D5" s="405"/>
      <c r="E5" s="685" t="s">
        <v>234</v>
      </c>
      <c r="F5" s="685"/>
      <c r="G5" s="685"/>
      <c r="H5" s="406"/>
      <c r="I5" s="406"/>
      <c r="J5" s="406"/>
      <c r="K5" s="404"/>
      <c r="L5" s="404"/>
      <c r="M5" s="407"/>
      <c r="O5" s="402"/>
      <c r="Q5" s="402"/>
    </row>
    <row r="6" spans="1:17" ht="13.5" thickBot="1">
      <c r="A6" s="677" t="s">
        <v>235</v>
      </c>
      <c r="B6" s="679" t="s">
        <v>236</v>
      </c>
      <c r="C6" s="680"/>
      <c r="D6" s="681"/>
      <c r="E6" s="679" t="s">
        <v>237</v>
      </c>
      <c r="F6" s="680"/>
      <c r="G6" s="681"/>
      <c r="H6" s="679" t="s">
        <v>238</v>
      </c>
      <c r="I6" s="680"/>
      <c r="J6" s="681"/>
      <c r="K6" s="679" t="s">
        <v>239</v>
      </c>
      <c r="L6" s="680"/>
      <c r="M6" s="681"/>
      <c r="Q6" s="402"/>
    </row>
    <row r="7" spans="1:17" ht="13.5" thickBot="1">
      <c r="A7" s="678"/>
      <c r="B7" s="408" t="s">
        <v>240</v>
      </c>
      <c r="C7" s="409" t="s">
        <v>241</v>
      </c>
      <c r="D7" s="410" t="s">
        <v>242</v>
      </c>
      <c r="E7" s="408" t="s">
        <v>240</v>
      </c>
      <c r="F7" s="409" t="s">
        <v>241</v>
      </c>
      <c r="G7" s="410" t="s">
        <v>242</v>
      </c>
      <c r="H7" s="408" t="s">
        <v>240</v>
      </c>
      <c r="I7" s="409" t="s">
        <v>241</v>
      </c>
      <c r="J7" s="411" t="s">
        <v>242</v>
      </c>
      <c r="K7" s="408" t="s">
        <v>240</v>
      </c>
      <c r="L7" s="409" t="s">
        <v>241</v>
      </c>
      <c r="M7" s="412" t="s">
        <v>242</v>
      </c>
      <c r="Q7" s="402"/>
    </row>
    <row r="8" spans="1:17" ht="13.5" thickBot="1">
      <c r="A8" s="413" t="s">
        <v>243</v>
      </c>
      <c r="B8" s="414">
        <f>666154858+40000000+57422837+168435505</f>
        <v>932013200</v>
      </c>
      <c r="C8" s="414">
        <v>927713656</v>
      </c>
      <c r="D8" s="414">
        <v>838605928</v>
      </c>
      <c r="E8" s="414">
        <f>2914600000+242618645</f>
        <v>3157218645</v>
      </c>
      <c r="F8" s="415">
        <v>3157218645</v>
      </c>
      <c r="G8" s="416">
        <v>3141041045</v>
      </c>
      <c r="H8" s="416"/>
      <c r="I8" s="416"/>
      <c r="J8" s="416">
        <v>0</v>
      </c>
      <c r="K8" s="417">
        <f>+B8+E8+H8</f>
        <v>4089231845</v>
      </c>
      <c r="L8" s="417">
        <f t="shared" ref="L8:M8" si="0">+C8+F8+I8</f>
        <v>4084932301</v>
      </c>
      <c r="M8" s="417">
        <f t="shared" si="0"/>
        <v>3979646973</v>
      </c>
      <c r="Q8" s="402"/>
    </row>
    <row r="9" spans="1:17" ht="13.5" thickBot="1">
      <c r="A9" s="418" t="s">
        <v>244</v>
      </c>
      <c r="B9" s="419">
        <f>B10+B11</f>
        <v>2785466242</v>
      </c>
      <c r="C9" s="419">
        <f>C10+C11</f>
        <v>2708748189</v>
      </c>
      <c r="D9" s="420">
        <f>D10+D11</f>
        <v>2132999867.5</v>
      </c>
      <c r="E9" s="421">
        <f>SUM(E10:E11)</f>
        <v>526957000</v>
      </c>
      <c r="F9" s="422">
        <f>F10+F11</f>
        <v>490807644</v>
      </c>
      <c r="G9" s="422">
        <f t="shared" ref="G9:I9" si="1">G10+G11</f>
        <v>334517146</v>
      </c>
      <c r="H9" s="422">
        <f t="shared" si="1"/>
        <v>0</v>
      </c>
      <c r="I9" s="422">
        <f t="shared" si="1"/>
        <v>0</v>
      </c>
      <c r="J9" s="422"/>
      <c r="K9" s="419">
        <f>+B9+E9</f>
        <v>3312423242</v>
      </c>
      <c r="L9" s="423">
        <f>+C9+F9</f>
        <v>3199555833</v>
      </c>
      <c r="M9" s="417">
        <f>+D9+G9</f>
        <v>2467517013.5</v>
      </c>
    </row>
    <row r="10" spans="1:17">
      <c r="A10" s="424" t="s">
        <v>245</v>
      </c>
      <c r="B10" s="425">
        <f>2716934000+65244242</f>
        <v>2782178242</v>
      </c>
      <c r="C10" s="425">
        <v>2705462949</v>
      </c>
      <c r="D10" s="426">
        <v>2129714627.5</v>
      </c>
      <c r="E10" s="427">
        <f>299066000+93923281</f>
        <v>392989281</v>
      </c>
      <c r="F10" s="425">
        <v>392989281</v>
      </c>
      <c r="G10" s="425">
        <v>251337747</v>
      </c>
      <c r="H10" s="425"/>
      <c r="I10" s="425">
        <v>0</v>
      </c>
      <c r="J10" s="425"/>
      <c r="K10" s="428">
        <f>+B10+E10+H10</f>
        <v>3175167523</v>
      </c>
      <c r="L10" s="428">
        <f>+C10+F10+I10</f>
        <v>3098452230</v>
      </c>
      <c r="M10" s="428">
        <f>+D10+G10+J10</f>
        <v>2381052374.5</v>
      </c>
    </row>
    <row r="11" spans="1:17" ht="13.5" thickBot="1">
      <c r="A11" s="429" t="s">
        <v>246</v>
      </c>
      <c r="B11" s="425">
        <f>60109000-56109000-712000</f>
        <v>3288000</v>
      </c>
      <c r="C11" s="425">
        <v>3285240</v>
      </c>
      <c r="D11" s="430">
        <v>3285240</v>
      </c>
      <c r="E11" s="427">
        <f>27891000+106076719</f>
        <v>133967719</v>
      </c>
      <c r="F11" s="425">
        <v>97818363</v>
      </c>
      <c r="G11" s="425">
        <v>83179399</v>
      </c>
      <c r="H11" s="431"/>
      <c r="I11" s="431"/>
      <c r="J11" s="431"/>
      <c r="K11" s="432">
        <f>+B11+E11+H11</f>
        <v>137255719</v>
      </c>
      <c r="L11" s="432">
        <f t="shared" ref="L11:M11" si="2">+C11+F11+I11</f>
        <v>101103603</v>
      </c>
      <c r="M11" s="432">
        <f t="shared" si="2"/>
        <v>86464639</v>
      </c>
    </row>
    <row r="12" spans="1:17" ht="13.5" thickBot="1">
      <c r="A12" s="433" t="s">
        <v>247</v>
      </c>
      <c r="B12" s="419">
        <f>+B13+B16+B19</f>
        <v>934261314</v>
      </c>
      <c r="C12" s="419">
        <f>+C13+C16</f>
        <v>650080588</v>
      </c>
      <c r="D12" s="434">
        <f>+D13+D16</f>
        <v>650080588</v>
      </c>
      <c r="E12" s="435">
        <f>+E13+E16+E19</f>
        <v>425100828</v>
      </c>
      <c r="F12" s="436">
        <f>+F13+F16+F19</f>
        <v>425100828</v>
      </c>
      <c r="G12" s="436">
        <f t="shared" ref="G12" si="3">+G13+G16+G19</f>
        <v>329393638.49000001</v>
      </c>
      <c r="H12" s="436"/>
      <c r="I12" s="436"/>
      <c r="J12" s="436"/>
      <c r="K12" s="436">
        <f t="shared" ref="K12:M13" si="4">+B12+E12</f>
        <v>1359362142</v>
      </c>
      <c r="L12" s="436">
        <f t="shared" si="4"/>
        <v>1075181416</v>
      </c>
      <c r="M12" s="417">
        <f t="shared" si="4"/>
        <v>979474226.49000001</v>
      </c>
    </row>
    <row r="13" spans="1:17" ht="13.5" thickBot="1">
      <c r="A13" s="437" t="s">
        <v>248</v>
      </c>
      <c r="B13" s="436">
        <f>SUM(B14:B15)</f>
        <v>897658106</v>
      </c>
      <c r="C13" s="436">
        <f>SUM(C14+C15)</f>
        <v>650080588</v>
      </c>
      <c r="D13" s="434">
        <f>SUM(D14+D15)</f>
        <v>650080588</v>
      </c>
      <c r="E13" s="438">
        <f>SUM(E14:E15)</f>
        <v>0</v>
      </c>
      <c r="F13" s="436">
        <f>SUM(F14:F15)</f>
        <v>0</v>
      </c>
      <c r="G13" s="436">
        <f t="shared" ref="G13" si="5">SUM(G14:G15)</f>
        <v>0</v>
      </c>
      <c r="H13" s="436"/>
      <c r="I13" s="436"/>
      <c r="J13" s="436"/>
      <c r="K13" s="436">
        <f t="shared" si="4"/>
        <v>897658106</v>
      </c>
      <c r="L13" s="439">
        <f t="shared" si="4"/>
        <v>650080588</v>
      </c>
      <c r="M13" s="417">
        <f t="shared" si="4"/>
        <v>650080588</v>
      </c>
    </row>
    <row r="14" spans="1:17" ht="13.5" thickBot="1">
      <c r="A14" s="424" t="s">
        <v>249</v>
      </c>
      <c r="B14" s="425">
        <f>835300000+62358106</f>
        <v>897658106</v>
      </c>
      <c r="C14" s="425">
        <v>650080588</v>
      </c>
      <c r="D14" s="426">
        <v>650080588</v>
      </c>
      <c r="E14" s="427"/>
      <c r="F14" s="425">
        <v>0</v>
      </c>
      <c r="G14" s="425"/>
      <c r="H14" s="425"/>
      <c r="I14" s="425"/>
      <c r="J14" s="425"/>
      <c r="K14" s="428">
        <f>+B14+E14+H14</f>
        <v>897658106</v>
      </c>
      <c r="L14" s="428">
        <f t="shared" ref="L14:M14" si="6">+C14+F14+I14</f>
        <v>650080588</v>
      </c>
      <c r="M14" s="428">
        <f t="shared" si="6"/>
        <v>650080588</v>
      </c>
    </row>
    <row r="15" spans="1:17" ht="13.5" thickBot="1">
      <c r="A15" s="424" t="s">
        <v>250</v>
      </c>
      <c r="B15" s="425">
        <v>0</v>
      </c>
      <c r="C15" s="440">
        <v>0</v>
      </c>
      <c r="D15" s="441"/>
      <c r="E15" s="427">
        <v>0</v>
      </c>
      <c r="F15" s="425">
        <v>0</v>
      </c>
      <c r="G15" s="425"/>
      <c r="H15" s="425"/>
      <c r="I15" s="425"/>
      <c r="J15" s="425"/>
      <c r="K15" s="428">
        <f t="shared" ref="K15:M21" si="7">+B15+E15</f>
        <v>0</v>
      </c>
      <c r="L15" s="442">
        <f t="shared" si="7"/>
        <v>0</v>
      </c>
      <c r="M15" s="417">
        <f t="shared" si="7"/>
        <v>0</v>
      </c>
    </row>
    <row r="16" spans="1:17" ht="13.5" thickBot="1">
      <c r="A16" s="437" t="s">
        <v>251</v>
      </c>
      <c r="B16" s="436">
        <f>SUM(B17:B18)</f>
        <v>0</v>
      </c>
      <c r="C16" s="436">
        <f>SUM(C17:C18)</f>
        <v>0</v>
      </c>
      <c r="D16" s="434"/>
      <c r="E16" s="438">
        <f>SUM(E17:E18)</f>
        <v>0</v>
      </c>
      <c r="F16" s="436">
        <f>SUM(F17:F18)</f>
        <v>0</v>
      </c>
      <c r="G16" s="436"/>
      <c r="H16" s="436"/>
      <c r="I16" s="436"/>
      <c r="J16" s="436"/>
      <c r="K16" s="428">
        <f t="shared" si="7"/>
        <v>0</v>
      </c>
      <c r="L16" s="439">
        <f t="shared" si="7"/>
        <v>0</v>
      </c>
      <c r="M16" s="417">
        <f t="shared" si="7"/>
        <v>0</v>
      </c>
    </row>
    <row r="17" spans="1:19" ht="13.5" thickBot="1">
      <c r="A17" s="424" t="s">
        <v>252</v>
      </c>
      <c r="B17" s="356">
        <v>0</v>
      </c>
      <c r="C17" s="356">
        <v>0</v>
      </c>
      <c r="D17" s="443"/>
      <c r="E17" s="444">
        <v>0</v>
      </c>
      <c r="F17" s="356">
        <v>0</v>
      </c>
      <c r="G17" s="356"/>
      <c r="H17" s="356"/>
      <c r="I17" s="356"/>
      <c r="J17" s="356"/>
      <c r="K17" s="428">
        <f t="shared" si="7"/>
        <v>0</v>
      </c>
      <c r="L17" s="445">
        <f t="shared" si="7"/>
        <v>0</v>
      </c>
      <c r="M17" s="417">
        <f t="shared" si="7"/>
        <v>0</v>
      </c>
    </row>
    <row r="18" spans="1:19" ht="13.5" thickBot="1">
      <c r="A18" s="424" t="s">
        <v>253</v>
      </c>
      <c r="B18" s="356">
        <v>0</v>
      </c>
      <c r="C18" s="356">
        <v>0</v>
      </c>
      <c r="D18" s="443"/>
      <c r="E18" s="444">
        <v>0</v>
      </c>
      <c r="F18" s="356">
        <v>0</v>
      </c>
      <c r="G18" s="356"/>
      <c r="H18" s="356"/>
      <c r="I18" s="356"/>
      <c r="J18" s="356"/>
      <c r="K18" s="428">
        <f t="shared" si="7"/>
        <v>0</v>
      </c>
      <c r="L18" s="445">
        <f t="shared" si="7"/>
        <v>0</v>
      </c>
      <c r="M18" s="417">
        <f t="shared" si="7"/>
        <v>0</v>
      </c>
    </row>
    <row r="19" spans="1:19" ht="13.5" thickBot="1">
      <c r="A19" s="437" t="s">
        <v>254</v>
      </c>
      <c r="B19" s="436">
        <f>B20+B22+B23</f>
        <v>36603208</v>
      </c>
      <c r="C19" s="436">
        <f>+C20+C22+C23</f>
        <v>36603208</v>
      </c>
      <c r="D19" s="434">
        <f>+D20+D22+D23</f>
        <v>36603208</v>
      </c>
      <c r="E19" s="438">
        <f>+E20+E23</f>
        <v>425100828</v>
      </c>
      <c r="F19" s="436">
        <f>+F20+F23</f>
        <v>425100828</v>
      </c>
      <c r="G19" s="436">
        <f>+G20+G23</f>
        <v>329393638.49000001</v>
      </c>
      <c r="H19" s="436"/>
      <c r="I19" s="436"/>
      <c r="J19" s="436"/>
      <c r="K19" s="436">
        <f t="shared" si="7"/>
        <v>461704036</v>
      </c>
      <c r="L19" s="436">
        <f t="shared" si="7"/>
        <v>461704036</v>
      </c>
      <c r="M19" s="417">
        <f t="shared" si="7"/>
        <v>365996846.49000001</v>
      </c>
      <c r="P19" s="446"/>
      <c r="Q19" s="446" t="s">
        <v>222</v>
      </c>
      <c r="R19" s="446" t="s">
        <v>255</v>
      </c>
      <c r="S19" s="446" t="s">
        <v>256</v>
      </c>
    </row>
    <row r="20" spans="1:19" ht="13.5" thickBot="1">
      <c r="A20" s="437" t="s">
        <v>257</v>
      </c>
      <c r="B20" s="436">
        <f>B21</f>
        <v>3093883</v>
      </c>
      <c r="C20" s="436">
        <f>+C21</f>
        <v>3093883</v>
      </c>
      <c r="D20" s="436">
        <f>+D21</f>
        <v>3093883</v>
      </c>
      <c r="E20" s="438">
        <f>+E21</f>
        <v>425100828</v>
      </c>
      <c r="F20" s="436">
        <f>+F21</f>
        <v>425100828</v>
      </c>
      <c r="G20" s="436">
        <f>+G21</f>
        <v>329393638.49000001</v>
      </c>
      <c r="H20" s="436"/>
      <c r="I20" s="436"/>
      <c r="J20" s="436"/>
      <c r="K20" s="436">
        <f t="shared" si="7"/>
        <v>428194711</v>
      </c>
      <c r="L20" s="439">
        <f t="shared" si="7"/>
        <v>428194711</v>
      </c>
      <c r="M20" s="417">
        <f t="shared" si="7"/>
        <v>332487521.49000001</v>
      </c>
      <c r="P20" s="446" t="str">
        <f>K7</f>
        <v>PRESUPUESTADO</v>
      </c>
      <c r="Q20" s="447">
        <f>K24</f>
        <v>8761017229</v>
      </c>
      <c r="R20" s="447">
        <f>K26</f>
        <v>11470076281</v>
      </c>
      <c r="S20" s="447">
        <f>Q20+R20</f>
        <v>20231093510</v>
      </c>
    </row>
    <row r="21" spans="1:19" ht="13.5" thickBot="1">
      <c r="A21" s="424" t="s">
        <v>258</v>
      </c>
      <c r="B21" s="425">
        <v>3093883</v>
      </c>
      <c r="C21" s="425">
        <v>3093883</v>
      </c>
      <c r="D21" s="426">
        <v>3093883</v>
      </c>
      <c r="E21" s="444">
        <v>425100828</v>
      </c>
      <c r="F21" s="356">
        <v>425100828</v>
      </c>
      <c r="G21" s="356">
        <v>329393638.49000001</v>
      </c>
      <c r="H21" s="356"/>
      <c r="I21" s="356"/>
      <c r="J21" s="356"/>
      <c r="K21" s="448">
        <f t="shared" si="7"/>
        <v>428194711</v>
      </c>
      <c r="L21" s="448">
        <f t="shared" si="7"/>
        <v>428194711</v>
      </c>
      <c r="M21" s="417">
        <f t="shared" si="7"/>
        <v>332487521.49000001</v>
      </c>
      <c r="P21" s="446" t="str">
        <f>L7</f>
        <v>COMPROMETIDO</v>
      </c>
      <c r="Q21" s="447">
        <f>L24</f>
        <v>8396272758</v>
      </c>
      <c r="R21" s="447">
        <f>L26</f>
        <v>10151844635.58</v>
      </c>
      <c r="S21" s="447">
        <f t="shared" ref="S21:S22" si="8">Q21+R21</f>
        <v>18548117393.580002</v>
      </c>
    </row>
    <row r="22" spans="1:19">
      <c r="A22" s="424" t="s">
        <v>259</v>
      </c>
      <c r="B22" s="425">
        <f>17000000-279755</f>
        <v>16720245</v>
      </c>
      <c r="C22" s="425">
        <v>16720245</v>
      </c>
      <c r="D22" s="426">
        <v>16720245</v>
      </c>
      <c r="E22" s="449">
        <v>0</v>
      </c>
      <c r="F22" s="425">
        <v>0</v>
      </c>
      <c r="G22" s="425"/>
      <c r="H22" s="425"/>
      <c r="I22" s="425"/>
      <c r="J22" s="425"/>
      <c r="K22" s="428">
        <f>+B22+E22+H22</f>
        <v>16720245</v>
      </c>
      <c r="L22" s="428">
        <f t="shared" ref="L22:M24" si="9">+C22+F22+I22</f>
        <v>16720245</v>
      </c>
      <c r="M22" s="428">
        <f t="shared" si="9"/>
        <v>16720245</v>
      </c>
      <c r="P22" s="446" t="str">
        <f>M7</f>
        <v>PAGOS</v>
      </c>
      <c r="Q22" s="447">
        <f>M24</f>
        <v>7463241420.9899998</v>
      </c>
      <c r="R22" s="447">
        <f>M26</f>
        <v>6417720100.5</v>
      </c>
      <c r="S22" s="447">
        <f t="shared" si="8"/>
        <v>13880961521.49</v>
      </c>
    </row>
    <row r="23" spans="1:19" ht="13.5" thickBot="1">
      <c r="A23" s="450" t="s">
        <v>260</v>
      </c>
      <c r="B23" s="451">
        <f>14000000+2789080</f>
        <v>16789080</v>
      </c>
      <c r="C23" s="451">
        <v>16789080</v>
      </c>
      <c r="D23" s="452">
        <v>16789080</v>
      </c>
      <c r="E23" s="453">
        <v>0</v>
      </c>
      <c r="F23" s="454">
        <v>0</v>
      </c>
      <c r="G23" s="455"/>
      <c r="H23" s="455"/>
      <c r="I23" s="455"/>
      <c r="J23" s="455"/>
      <c r="K23" s="456">
        <f>+B23+E23+H23</f>
        <v>16789080</v>
      </c>
      <c r="L23" s="456">
        <f t="shared" si="9"/>
        <v>16789080</v>
      </c>
      <c r="M23" s="456">
        <f t="shared" si="9"/>
        <v>16789080</v>
      </c>
      <c r="N23" s="401" t="s">
        <v>261</v>
      </c>
      <c r="O23" s="401" t="s">
        <v>262</v>
      </c>
    </row>
    <row r="24" spans="1:19" ht="13.5" thickBot="1">
      <c r="A24" s="457" t="s">
        <v>263</v>
      </c>
      <c r="B24" s="458">
        <f>B8+B9+B12</f>
        <v>4651740756</v>
      </c>
      <c r="C24" s="458">
        <f>+C8+C9+C12+C19</f>
        <v>4323145641</v>
      </c>
      <c r="D24" s="459">
        <f>+D8+D9+D12+D19</f>
        <v>3658289591.5</v>
      </c>
      <c r="E24" s="460">
        <f>+E8+E9+E12</f>
        <v>4109276473</v>
      </c>
      <c r="F24" s="461">
        <f>F8+F9+F12</f>
        <v>4073127117</v>
      </c>
      <c r="G24" s="461">
        <f>G8+G9+G12</f>
        <v>3804951829.4899998</v>
      </c>
      <c r="H24" s="461">
        <f t="shared" ref="H24:J24" si="10">H8+H9</f>
        <v>0</v>
      </c>
      <c r="I24" s="461">
        <f t="shared" si="10"/>
        <v>0</v>
      </c>
      <c r="J24" s="461">
        <f t="shared" si="10"/>
        <v>0</v>
      </c>
      <c r="K24" s="458">
        <f>+B24+E24+H24</f>
        <v>8761017229</v>
      </c>
      <c r="L24" s="458">
        <f t="shared" si="9"/>
        <v>8396272758</v>
      </c>
      <c r="M24" s="458">
        <f t="shared" si="9"/>
        <v>7463241420.9899998</v>
      </c>
      <c r="N24" s="462">
        <f>L24/K24</f>
        <v>0.95836733777983529</v>
      </c>
      <c r="O24" s="462">
        <f>M24/L24</f>
        <v>0.88887553276291498</v>
      </c>
    </row>
    <row r="25" spans="1:19" ht="13.5" thickBot="1">
      <c r="A25" s="463"/>
      <c r="B25" s="464"/>
      <c r="C25" s="464"/>
      <c r="D25" s="464"/>
      <c r="E25" s="464"/>
      <c r="F25" s="464"/>
      <c r="G25" s="464"/>
      <c r="H25" s="464"/>
      <c r="I25" s="464"/>
      <c r="J25" s="464"/>
      <c r="K25" s="465"/>
      <c r="L25" s="465"/>
      <c r="M25" s="465"/>
    </row>
    <row r="26" spans="1:19" ht="13.5" thickBot="1">
      <c r="A26" s="457" t="s">
        <v>264</v>
      </c>
      <c r="B26" s="466">
        <f>B27+B31+B34+B38+B41+B44+B47</f>
        <v>8997642453</v>
      </c>
      <c r="C26" s="466">
        <f>C27+C31+C34+C38+C41+C44+C47</f>
        <v>7679442712.5799999</v>
      </c>
      <c r="D26" s="466">
        <f>D27+D31+D34+D38+D41+D44+D47</f>
        <v>6417720100.5</v>
      </c>
      <c r="E26" s="467">
        <f>E27+E31+E34+E38+E41+E44+E47+E48</f>
        <v>2472433828</v>
      </c>
      <c r="F26" s="468">
        <f>F27+F31+F34+F38+F41+F44+F47+F48</f>
        <v>2472401923</v>
      </c>
      <c r="G26" s="466">
        <f>G27+G31+G34+G38+G41+G44+G47+G48</f>
        <v>0</v>
      </c>
      <c r="H26" s="466">
        <f t="shared" ref="H26:J26" si="11">H27+H31+H34+H38+H41+H44+H47+H48</f>
        <v>0</v>
      </c>
      <c r="I26" s="466">
        <f t="shared" si="11"/>
        <v>0</v>
      </c>
      <c r="J26" s="466">
        <f t="shared" si="11"/>
        <v>0</v>
      </c>
      <c r="K26" s="466">
        <f t="shared" ref="K26:M38" si="12">+B26+E26+H26</f>
        <v>11470076281</v>
      </c>
      <c r="L26" s="466">
        <f t="shared" si="12"/>
        <v>10151844635.58</v>
      </c>
      <c r="M26" s="466">
        <f t="shared" si="12"/>
        <v>6417720100.5</v>
      </c>
      <c r="N26" s="462">
        <f>L26/K26</f>
        <v>0.88507211171702227</v>
      </c>
      <c r="O26" s="462">
        <f>M26/L26</f>
        <v>0.63217280512817264</v>
      </c>
    </row>
    <row r="27" spans="1:19">
      <c r="A27" s="469" t="s">
        <v>265</v>
      </c>
      <c r="B27" s="470">
        <f>SUM(B28:B30)</f>
        <v>628444847</v>
      </c>
      <c r="C27" s="470">
        <f>SUM(C28:C30)</f>
        <v>594821313</v>
      </c>
      <c r="D27" s="471">
        <f>SUM(D28:D30)</f>
        <v>563134484</v>
      </c>
      <c r="E27" s="472">
        <f>SUM(E28:E29)</f>
        <v>0</v>
      </c>
      <c r="F27" s="473">
        <f>SUM(F28:F29)</f>
        <v>0</v>
      </c>
      <c r="G27" s="470">
        <f t="shared" ref="G27:J27" si="13">SUM(G28:G29)</f>
        <v>0</v>
      </c>
      <c r="H27" s="470">
        <f>SUM(H28:H30)</f>
        <v>0</v>
      </c>
      <c r="I27" s="470">
        <f t="shared" si="13"/>
        <v>0</v>
      </c>
      <c r="J27" s="470">
        <f t="shared" si="13"/>
        <v>0</v>
      </c>
      <c r="K27" s="474">
        <f t="shared" si="12"/>
        <v>628444847</v>
      </c>
      <c r="L27" s="475">
        <f t="shared" si="12"/>
        <v>594821313</v>
      </c>
      <c r="M27" s="475">
        <f t="shared" si="12"/>
        <v>563134484</v>
      </c>
    </row>
    <row r="28" spans="1:19" ht="25.5">
      <c r="A28" s="476" t="s">
        <v>266</v>
      </c>
      <c r="B28" s="477">
        <f>255793987-1262501+23000000+31800000</f>
        <v>309331486</v>
      </c>
      <c r="C28" s="478">
        <v>299947251</v>
      </c>
      <c r="D28" s="479">
        <v>270630461</v>
      </c>
      <c r="E28" s="480"/>
      <c r="F28" s="481"/>
      <c r="G28" s="482"/>
      <c r="H28" s="482"/>
      <c r="I28" s="482"/>
      <c r="J28" s="482"/>
      <c r="K28" s="483">
        <f>SUM(B28+E28+H28)</f>
        <v>309331486</v>
      </c>
      <c r="L28" s="484">
        <f t="shared" ref="L28:M30" si="14">C28+F28+I28</f>
        <v>299947251</v>
      </c>
      <c r="M28" s="484">
        <f t="shared" si="14"/>
        <v>270630461</v>
      </c>
      <c r="Q28" s="402"/>
    </row>
    <row r="29" spans="1:19">
      <c r="A29" s="485" t="s">
        <v>267</v>
      </c>
      <c r="B29" s="486">
        <f>161366494-5000000+1262501</f>
        <v>157628995</v>
      </c>
      <c r="C29" s="487">
        <v>135928332</v>
      </c>
      <c r="D29" s="488">
        <v>134257849</v>
      </c>
      <c r="E29" s="489"/>
      <c r="F29" s="489"/>
      <c r="G29" s="486"/>
      <c r="H29" s="486"/>
      <c r="I29" s="486"/>
      <c r="J29" s="486"/>
      <c r="K29" s="483">
        <f t="shared" ref="K29:K30" si="15">SUM(B29+E29+H29)</f>
        <v>157628995</v>
      </c>
      <c r="L29" s="484">
        <f t="shared" si="14"/>
        <v>135928332</v>
      </c>
      <c r="M29" s="484">
        <f t="shared" si="14"/>
        <v>134257849</v>
      </c>
    </row>
    <row r="30" spans="1:19">
      <c r="A30" s="490" t="s">
        <v>268</v>
      </c>
      <c r="B30" s="486">
        <f>172284366+21000000-31800000</f>
        <v>161484366</v>
      </c>
      <c r="C30" s="486">
        <v>158945730</v>
      </c>
      <c r="D30" s="488">
        <v>158246174</v>
      </c>
      <c r="E30" s="489"/>
      <c r="F30" s="486"/>
      <c r="G30" s="486"/>
      <c r="H30" s="486"/>
      <c r="I30" s="486"/>
      <c r="J30" s="486"/>
      <c r="K30" s="483">
        <f t="shared" si="15"/>
        <v>161484366</v>
      </c>
      <c r="L30" s="484">
        <f t="shared" si="14"/>
        <v>158945730</v>
      </c>
      <c r="M30" s="484">
        <f t="shared" si="14"/>
        <v>158246174</v>
      </c>
    </row>
    <row r="31" spans="1:19">
      <c r="A31" s="491" t="s">
        <v>269</v>
      </c>
      <c r="B31" s="492">
        <f>SUM(B32:B33)</f>
        <v>3216257226</v>
      </c>
      <c r="C31" s="492">
        <f>SUM(C32:C33)</f>
        <v>2716248050.5</v>
      </c>
      <c r="D31" s="493">
        <f>SUM(D32:D33)</f>
        <v>2194913030</v>
      </c>
      <c r="E31" s="494">
        <f>SUM(E32:E33)</f>
        <v>0</v>
      </c>
      <c r="F31" s="492">
        <f>SUM(F32:F33)</f>
        <v>0</v>
      </c>
      <c r="G31" s="492">
        <f t="shared" ref="G31:J31" si="16">SUM(G32:G33)</f>
        <v>0</v>
      </c>
      <c r="H31" s="492">
        <f t="shared" si="16"/>
        <v>0</v>
      </c>
      <c r="I31" s="492">
        <f t="shared" si="16"/>
        <v>0</v>
      </c>
      <c r="J31" s="492">
        <f t="shared" si="16"/>
        <v>0</v>
      </c>
      <c r="K31" s="495">
        <f t="shared" si="12"/>
        <v>3216257226</v>
      </c>
      <c r="L31" s="496">
        <f t="shared" si="12"/>
        <v>2716248050.5</v>
      </c>
      <c r="M31" s="496">
        <f t="shared" si="12"/>
        <v>2194913030</v>
      </c>
    </row>
    <row r="32" spans="1:19" ht="25.5">
      <c r="A32" s="485" t="s">
        <v>270</v>
      </c>
      <c r="B32" s="119">
        <f>755539641+6000000+139502092+12531620.5+1372889793.5+200000000+76000000</f>
        <v>2562463147</v>
      </c>
      <c r="C32" s="119">
        <v>2111149154.5</v>
      </c>
      <c r="D32" s="497">
        <v>1614737098</v>
      </c>
      <c r="E32" s="489"/>
      <c r="F32" s="489"/>
      <c r="G32" s="486"/>
      <c r="H32" s="498"/>
      <c r="I32" s="119"/>
      <c r="J32" s="119"/>
      <c r="K32" s="483">
        <f t="shared" ref="K32:M33" si="17">B32+E32+H32</f>
        <v>2562463147</v>
      </c>
      <c r="L32" s="484">
        <f t="shared" si="17"/>
        <v>2111149154.5</v>
      </c>
      <c r="M32" s="484">
        <f t="shared" si="17"/>
        <v>1614737098</v>
      </c>
      <c r="Q32" s="402"/>
    </row>
    <row r="33" spans="1:17">
      <c r="A33" s="485" t="s">
        <v>271</v>
      </c>
      <c r="B33" s="486">
        <v>653794079</v>
      </c>
      <c r="C33" s="486">
        <v>605098896</v>
      </c>
      <c r="D33" s="488">
        <v>580175932</v>
      </c>
      <c r="E33" s="489"/>
      <c r="F33" s="486"/>
      <c r="G33" s="486"/>
      <c r="H33" s="486"/>
      <c r="I33" s="486"/>
      <c r="J33" s="486"/>
      <c r="K33" s="483">
        <f t="shared" si="17"/>
        <v>653794079</v>
      </c>
      <c r="L33" s="484">
        <f t="shared" si="17"/>
        <v>605098896</v>
      </c>
      <c r="M33" s="484">
        <f t="shared" si="17"/>
        <v>580175932</v>
      </c>
    </row>
    <row r="34" spans="1:17" ht="22.5">
      <c r="A34" s="499" t="s">
        <v>272</v>
      </c>
      <c r="B34" s="500">
        <f>SUM(B35:B37)</f>
        <v>1775475813</v>
      </c>
      <c r="C34" s="501">
        <f>SUM(C35:C37)</f>
        <v>1243844370.5799999</v>
      </c>
      <c r="D34" s="502">
        <f>SUM(D35:D37)</f>
        <v>1147737652</v>
      </c>
      <c r="E34" s="502">
        <f>SUM(E35:E37)</f>
        <v>2472433828</v>
      </c>
      <c r="F34" s="502">
        <f>SUM(F35:F37)</f>
        <v>2472401923</v>
      </c>
      <c r="G34" s="501">
        <f t="shared" ref="G34" si="18">SUM(G35:G36)</f>
        <v>0</v>
      </c>
      <c r="H34" s="501">
        <f>SUM(H35:H37)</f>
        <v>0</v>
      </c>
      <c r="I34" s="501">
        <f t="shared" ref="I34:J34" si="19">SUM(I35:I37)</f>
        <v>0</v>
      </c>
      <c r="J34" s="501">
        <f t="shared" si="19"/>
        <v>0</v>
      </c>
      <c r="K34" s="503">
        <f t="shared" si="12"/>
        <v>4247909641</v>
      </c>
      <c r="L34" s="504">
        <f t="shared" si="12"/>
        <v>3716246293.5799999</v>
      </c>
      <c r="M34" s="504">
        <f t="shared" si="12"/>
        <v>1147737652</v>
      </c>
    </row>
    <row r="35" spans="1:17">
      <c r="A35" s="505" t="s">
        <v>273</v>
      </c>
      <c r="B35" s="506">
        <f>758893326+154733813+87000000+10000000</f>
        <v>1010627139</v>
      </c>
      <c r="C35" s="498">
        <v>728040168.58000004</v>
      </c>
      <c r="D35" s="507">
        <v>634765312</v>
      </c>
      <c r="E35" s="508">
        <v>2472433828</v>
      </c>
      <c r="F35" s="508">
        <v>2472401923</v>
      </c>
      <c r="G35" s="486"/>
      <c r="H35" s="486"/>
      <c r="I35" s="486"/>
      <c r="J35" s="486"/>
      <c r="K35" s="509">
        <f>B35+E35+H35</f>
        <v>3483060967</v>
      </c>
      <c r="L35" s="510">
        <f>C35+F35+I35</f>
        <v>3200442091.5799999</v>
      </c>
      <c r="M35" s="510">
        <f>D35+G35+J35</f>
        <v>634765312</v>
      </c>
    </row>
    <row r="36" spans="1:17">
      <c r="A36" s="511" t="s">
        <v>274</v>
      </c>
      <c r="B36" s="512">
        <f>653530147+32000000+189488034-161000000</f>
        <v>714018181</v>
      </c>
      <c r="C36" s="486">
        <v>465174776</v>
      </c>
      <c r="D36" s="488">
        <v>462668549</v>
      </c>
      <c r="E36" s="489"/>
      <c r="F36" s="486"/>
      <c r="G36" s="486"/>
      <c r="H36" s="486"/>
      <c r="I36" s="486"/>
      <c r="J36" s="486"/>
      <c r="K36" s="509">
        <f t="shared" ref="K36:M37" si="20">B36+E36+H36</f>
        <v>714018181</v>
      </c>
      <c r="L36" s="510">
        <f t="shared" si="20"/>
        <v>465174776</v>
      </c>
      <c r="M36" s="510">
        <f t="shared" si="20"/>
        <v>462668549</v>
      </c>
    </row>
    <row r="37" spans="1:17">
      <c r="A37" s="505" t="s">
        <v>275</v>
      </c>
      <c r="B37" s="513">
        <f>84830493-32000000-2000000</f>
        <v>50830493</v>
      </c>
      <c r="C37" s="486">
        <v>50629426</v>
      </c>
      <c r="D37" s="488">
        <v>50303791</v>
      </c>
      <c r="E37" s="489"/>
      <c r="F37" s="489"/>
      <c r="G37" s="486"/>
      <c r="H37" s="486"/>
      <c r="I37" s="486"/>
      <c r="J37" s="486"/>
      <c r="K37" s="509">
        <f t="shared" si="20"/>
        <v>50830493</v>
      </c>
      <c r="L37" s="510">
        <f t="shared" si="20"/>
        <v>50629426</v>
      </c>
      <c r="M37" s="510">
        <f t="shared" si="20"/>
        <v>50303791</v>
      </c>
    </row>
    <row r="38" spans="1:17">
      <c r="A38" s="499" t="s">
        <v>276</v>
      </c>
      <c r="B38" s="514">
        <f>SUM(B39:B40)</f>
        <v>1531875252</v>
      </c>
      <c r="C38" s="492">
        <f>SUM(C39:C40)</f>
        <v>1483322363.5</v>
      </c>
      <c r="D38" s="492">
        <f>SUM(D39:D40)</f>
        <v>936026245.5</v>
      </c>
      <c r="E38" s="494">
        <f>SUM(E39:E40)</f>
        <v>0</v>
      </c>
      <c r="F38" s="492">
        <f>SUM(F39:F40)</f>
        <v>0</v>
      </c>
      <c r="G38" s="492">
        <f t="shared" ref="G38:J38" si="21">SUM(G39:G40)</f>
        <v>0</v>
      </c>
      <c r="H38" s="492">
        <f t="shared" si="21"/>
        <v>0</v>
      </c>
      <c r="I38" s="492">
        <f t="shared" si="21"/>
        <v>0</v>
      </c>
      <c r="J38" s="492">
        <f t="shared" si="21"/>
        <v>0</v>
      </c>
      <c r="K38" s="495">
        <f t="shared" si="12"/>
        <v>1531875252</v>
      </c>
      <c r="L38" s="496">
        <f t="shared" si="12"/>
        <v>1483322363.5</v>
      </c>
      <c r="M38" s="496">
        <f t="shared" si="12"/>
        <v>936026245.5</v>
      </c>
    </row>
    <row r="39" spans="1:17">
      <c r="A39" s="515" t="s">
        <v>277</v>
      </c>
      <c r="B39" s="513">
        <f>325706080+520000000</f>
        <v>845706080</v>
      </c>
      <c r="C39" s="516">
        <v>819878638.5</v>
      </c>
      <c r="D39" s="517">
        <v>315020344.5</v>
      </c>
      <c r="E39" s="518"/>
      <c r="F39" s="486"/>
      <c r="G39" s="516"/>
      <c r="H39" s="516"/>
      <c r="I39" s="516"/>
      <c r="J39" s="516"/>
      <c r="K39" s="519">
        <f>SUM(B39+E39+H39)</f>
        <v>845706080</v>
      </c>
      <c r="L39" s="520">
        <f>C39+F39+I39</f>
        <v>819878638.5</v>
      </c>
      <c r="M39" s="520">
        <f>D39+G39+J39</f>
        <v>315020344.5</v>
      </c>
      <c r="Q39" s="402"/>
    </row>
    <row r="40" spans="1:17">
      <c r="A40" s="521" t="s">
        <v>278</v>
      </c>
      <c r="B40" s="119">
        <f>282619172+387550000+16000000</f>
        <v>686169172</v>
      </c>
      <c r="C40" s="119">
        <v>663443725</v>
      </c>
      <c r="D40" s="497">
        <v>621005901</v>
      </c>
      <c r="E40" s="489"/>
      <c r="F40" s="486"/>
      <c r="G40" s="486"/>
      <c r="H40" s="486"/>
      <c r="I40" s="486"/>
      <c r="J40" s="486"/>
      <c r="K40" s="519">
        <f>SUM(B40+E40+H40)</f>
        <v>686169172</v>
      </c>
      <c r="L40" s="520">
        <f>C40+F40+I40</f>
        <v>663443725</v>
      </c>
      <c r="M40" s="520">
        <f>D40+G40+J40</f>
        <v>621005901</v>
      </c>
    </row>
    <row r="41" spans="1:17">
      <c r="A41" s="522" t="s">
        <v>279</v>
      </c>
      <c r="B41" s="523">
        <f>SUM(B42:B43)</f>
        <v>659020948</v>
      </c>
      <c r="C41" s="523">
        <f>SUM(C42:C43)</f>
        <v>479808950</v>
      </c>
      <c r="D41" s="523">
        <f>SUM(D42:D43)</f>
        <v>477159679</v>
      </c>
      <c r="E41" s="524">
        <f>SUM(E42:E43)</f>
        <v>0</v>
      </c>
      <c r="F41" s="492">
        <f>SUM(F42:F43)</f>
        <v>0</v>
      </c>
      <c r="G41" s="492">
        <f t="shared" ref="G41:J41" si="22">SUM(G42:G43)</f>
        <v>0</v>
      </c>
      <c r="H41" s="492">
        <f t="shared" si="22"/>
        <v>0</v>
      </c>
      <c r="I41" s="492">
        <f t="shared" si="22"/>
        <v>0</v>
      </c>
      <c r="J41" s="492">
        <f t="shared" si="22"/>
        <v>0</v>
      </c>
      <c r="K41" s="525">
        <f t="shared" ref="K41:M44" si="23">+B41+E41+H41</f>
        <v>659020948</v>
      </c>
      <c r="L41" s="526">
        <f t="shared" si="23"/>
        <v>479808950</v>
      </c>
      <c r="M41" s="526">
        <f t="shared" si="23"/>
        <v>477159679</v>
      </c>
    </row>
    <row r="42" spans="1:17">
      <c r="A42" s="505" t="s">
        <v>280</v>
      </c>
      <c r="B42" s="513">
        <f>411544536-16000000+23000000+24000000</f>
        <v>442544536</v>
      </c>
      <c r="C42" s="486">
        <v>360093860</v>
      </c>
      <c r="D42" s="488">
        <v>357918030</v>
      </c>
      <c r="E42" s="527"/>
      <c r="F42" s="486"/>
      <c r="G42" s="528"/>
      <c r="H42" s="528"/>
      <c r="I42" s="528"/>
      <c r="J42" s="528"/>
      <c r="K42" s="529">
        <f t="shared" ref="K42:M43" si="24">B42+E42+H42</f>
        <v>442544536</v>
      </c>
      <c r="L42" s="530">
        <f t="shared" si="24"/>
        <v>360093860</v>
      </c>
      <c r="M42" s="530">
        <f t="shared" si="24"/>
        <v>357918030</v>
      </c>
    </row>
    <row r="43" spans="1:17">
      <c r="A43" s="521" t="s">
        <v>281</v>
      </c>
      <c r="B43" s="132">
        <f>238476412-22000000</f>
        <v>216476412</v>
      </c>
      <c r="C43" s="119">
        <v>119715090</v>
      </c>
      <c r="D43" s="497">
        <v>119241649</v>
      </c>
      <c r="E43" s="489"/>
      <c r="F43" s="486"/>
      <c r="G43" s="528"/>
      <c r="H43" s="528"/>
      <c r="I43" s="528"/>
      <c r="J43" s="528"/>
      <c r="K43" s="529">
        <f t="shared" si="24"/>
        <v>216476412</v>
      </c>
      <c r="L43" s="530">
        <f t="shared" si="24"/>
        <v>119715090</v>
      </c>
      <c r="M43" s="530">
        <f t="shared" si="24"/>
        <v>119241649</v>
      </c>
    </row>
    <row r="44" spans="1:17">
      <c r="A44" s="499" t="s">
        <v>282</v>
      </c>
      <c r="B44" s="514">
        <f>SUM(B45:B46)</f>
        <v>1186568367</v>
      </c>
      <c r="C44" s="514">
        <f t="shared" ref="C44:J44" si="25">SUM(C45:C46)</f>
        <v>1161397665</v>
      </c>
      <c r="D44" s="514">
        <f t="shared" si="25"/>
        <v>1098749010</v>
      </c>
      <c r="E44" s="514">
        <f t="shared" si="25"/>
        <v>0</v>
      </c>
      <c r="F44" s="514">
        <f t="shared" si="25"/>
        <v>0</v>
      </c>
      <c r="G44" s="514">
        <f t="shared" si="25"/>
        <v>0</v>
      </c>
      <c r="H44" s="514">
        <f t="shared" si="25"/>
        <v>0</v>
      </c>
      <c r="I44" s="514">
        <f t="shared" si="25"/>
        <v>0</v>
      </c>
      <c r="J44" s="514">
        <f t="shared" si="25"/>
        <v>0</v>
      </c>
      <c r="K44" s="495">
        <f t="shared" si="23"/>
        <v>1186568367</v>
      </c>
      <c r="L44" s="496">
        <f t="shared" si="23"/>
        <v>1161397665</v>
      </c>
      <c r="M44" s="496">
        <f t="shared" si="23"/>
        <v>1098749010</v>
      </c>
    </row>
    <row r="45" spans="1:17" ht="25.5">
      <c r="A45" s="521" t="s">
        <v>283</v>
      </c>
      <c r="B45" s="119">
        <f>769365817+5000000+54000000+37689958</f>
        <v>866055775</v>
      </c>
      <c r="C45" s="119">
        <v>865445359</v>
      </c>
      <c r="D45" s="119">
        <v>827000068</v>
      </c>
      <c r="E45" s="486"/>
      <c r="F45" s="486"/>
      <c r="G45" s="486"/>
      <c r="H45" s="486"/>
      <c r="I45" s="486"/>
      <c r="J45" s="486"/>
      <c r="K45" s="483">
        <f t="shared" ref="K45:M46" si="26">B45+E45+H45</f>
        <v>866055775</v>
      </c>
      <c r="L45" s="484">
        <f t="shared" si="26"/>
        <v>865445359</v>
      </c>
      <c r="M45" s="484">
        <f t="shared" si="26"/>
        <v>827000068</v>
      </c>
    </row>
    <row r="46" spans="1:17" ht="13.5" thickBot="1">
      <c r="A46" s="531" t="s">
        <v>284</v>
      </c>
      <c r="B46" s="119">
        <f>252512592+32000000+24000000+12000000</f>
        <v>320512592</v>
      </c>
      <c r="C46" s="113">
        <v>295952306</v>
      </c>
      <c r="D46" s="532">
        <v>271748942</v>
      </c>
      <c r="E46" s="527"/>
      <c r="F46" s="486"/>
      <c r="G46" s="528"/>
      <c r="H46" s="528"/>
      <c r="I46" s="528"/>
      <c r="J46" s="528"/>
      <c r="K46" s="483">
        <f t="shared" si="26"/>
        <v>320512592</v>
      </c>
      <c r="L46" s="520">
        <f t="shared" si="26"/>
        <v>295952306</v>
      </c>
      <c r="M46" s="520">
        <f t="shared" si="26"/>
        <v>271748942</v>
      </c>
    </row>
    <row r="47" spans="1:17" ht="13.5" thickBot="1">
      <c r="A47" s="433" t="s">
        <v>285</v>
      </c>
      <c r="B47" s="533"/>
      <c r="C47" s="533"/>
      <c r="D47" s="534"/>
      <c r="E47" s="535"/>
      <c r="F47" s="536"/>
      <c r="G47" s="536"/>
      <c r="H47" s="536"/>
      <c r="I47" s="536"/>
      <c r="J47" s="536"/>
      <c r="K47" s="533">
        <f>+B47+E47</f>
        <v>0</v>
      </c>
      <c r="L47" s="537">
        <f>+C47+F47</f>
        <v>0</v>
      </c>
      <c r="M47" s="538">
        <f>+D47+G47+L47</f>
        <v>0</v>
      </c>
    </row>
    <row r="48" spans="1:17" ht="13.5" thickBot="1">
      <c r="A48" s="539" t="s">
        <v>286</v>
      </c>
      <c r="B48" s="540"/>
      <c r="C48" s="540"/>
      <c r="D48" s="541"/>
      <c r="E48" s="542"/>
      <c r="F48" s="543"/>
      <c r="G48" s="543"/>
      <c r="H48" s="543"/>
      <c r="I48" s="543"/>
      <c r="J48" s="543"/>
      <c r="K48" s="540"/>
      <c r="L48" s="544"/>
      <c r="M48" s="538">
        <f>+D48+G48+L48</f>
        <v>0</v>
      </c>
    </row>
    <row r="49" spans="1:18" ht="14.25" thickBot="1">
      <c r="A49" s="545"/>
      <c r="B49" s="546"/>
      <c r="C49" s="546"/>
      <c r="D49" s="546"/>
      <c r="E49" s="547"/>
      <c r="F49" s="548"/>
      <c r="G49" s="546"/>
      <c r="H49" s="546"/>
      <c r="I49" s="546"/>
      <c r="J49" s="546"/>
      <c r="K49" s="549"/>
      <c r="L49" s="550">
        <f>+C49+F49</f>
        <v>0</v>
      </c>
      <c r="M49" s="538">
        <f>+D49+G49+L49</f>
        <v>0</v>
      </c>
    </row>
    <row r="50" spans="1:18" ht="13.5" thickBot="1">
      <c r="A50" s="551" t="s">
        <v>287</v>
      </c>
      <c r="B50" s="552">
        <f>B24+B26</f>
        <v>13649383209</v>
      </c>
      <c r="C50" s="552">
        <f>C24+C26</f>
        <v>12002588353.58</v>
      </c>
      <c r="D50" s="553">
        <f>D24+D26</f>
        <v>10076009692</v>
      </c>
      <c r="E50" s="554">
        <f>E24+E26</f>
        <v>6581710301</v>
      </c>
      <c r="F50" s="460">
        <f>F24+F26</f>
        <v>6545529040</v>
      </c>
      <c r="G50" s="460">
        <f t="shared" ref="G50:J50" si="27">G24+G26</f>
        <v>3804951829.4899998</v>
      </c>
      <c r="H50" s="460">
        <f t="shared" si="27"/>
        <v>0</v>
      </c>
      <c r="I50" s="460">
        <f t="shared" si="27"/>
        <v>0</v>
      </c>
      <c r="J50" s="460">
        <f t="shared" si="27"/>
        <v>0</v>
      </c>
      <c r="K50" s="460">
        <f>K24+K26</f>
        <v>20231093510</v>
      </c>
      <c r="L50" s="460">
        <f t="shared" ref="L50:M50" si="28">L24+L26</f>
        <v>18548117393.580002</v>
      </c>
      <c r="M50" s="460">
        <f t="shared" si="28"/>
        <v>13880961521.49</v>
      </c>
      <c r="N50" s="462">
        <f>L50/K50</f>
        <v>0.9168123999037362</v>
      </c>
      <c r="O50" s="462">
        <f>M50/L50</f>
        <v>0.74837576380094351</v>
      </c>
    </row>
    <row r="52" spans="1:18">
      <c r="O52" s="446"/>
      <c r="P52" s="446" t="s">
        <v>222</v>
      </c>
      <c r="Q52" s="446" t="s">
        <v>255</v>
      </c>
      <c r="R52" s="446" t="s">
        <v>256</v>
      </c>
    </row>
    <row r="53" spans="1:18">
      <c r="B53" s="462"/>
      <c r="O53" s="446" t="s">
        <v>241</v>
      </c>
      <c r="P53" s="555">
        <f>L24</f>
        <v>8396272758</v>
      </c>
      <c r="Q53" s="555">
        <f>L26</f>
        <v>10151844635.58</v>
      </c>
      <c r="R53" s="555">
        <f>P53+Q53</f>
        <v>18548117393.580002</v>
      </c>
    </row>
    <row r="54" spans="1:18">
      <c r="O54" s="446" t="s">
        <v>242</v>
      </c>
      <c r="P54" s="555">
        <f>M24</f>
        <v>7463241420.9899998</v>
      </c>
      <c r="Q54" s="555">
        <f>M26</f>
        <v>6417720100.5</v>
      </c>
      <c r="R54" s="555">
        <f>P54+Q54</f>
        <v>13880961521.49</v>
      </c>
    </row>
    <row r="56" spans="1:18">
      <c r="E56" s="462"/>
    </row>
    <row r="57" spans="1:18">
      <c r="E57" s="402"/>
    </row>
    <row r="64" spans="1:18">
      <c r="A64" s="402"/>
    </row>
  </sheetData>
  <mergeCells count="10">
    <mergeCell ref="A1:L1"/>
    <mergeCell ref="A2:L2"/>
    <mergeCell ref="A3:M3"/>
    <mergeCell ref="A4:M4"/>
    <mergeCell ref="E5:G5"/>
    <mergeCell ref="A6:A7"/>
    <mergeCell ref="B6:D6"/>
    <mergeCell ref="E6:G6"/>
    <mergeCell ref="H6:J6"/>
    <mergeCell ref="K6:M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1 Matriz Informe Gestión</vt:lpstr>
      <vt:lpstr>Anexo 2 Protoco Inform Gestión</vt:lpstr>
      <vt:lpstr>Anexo 5 - 1 Ingresos</vt:lpstr>
      <vt:lpstr>Anexo 5 - 2 Gastos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PC1</cp:lastModifiedBy>
  <dcterms:created xsi:type="dcterms:W3CDTF">2018-02-05T19:15:21Z</dcterms:created>
  <dcterms:modified xsi:type="dcterms:W3CDTF">2018-02-15T22:23:27Z</dcterms:modified>
</cp:coreProperties>
</file>